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" windowWidth="12120" windowHeight="9120" tabRatio="761" activeTab="0"/>
  </bookViews>
  <sheets>
    <sheet name="Metas Fiscais" sheetId="1" r:id="rId1"/>
    <sheet name="Metas Fiscais Ano Anterior" sheetId="2" r:id="rId2"/>
    <sheet name="Meta Fiscal Result Primário" sheetId="3" r:id="rId3"/>
    <sheet name="Meta Fiscal Resultado Nominal" sheetId="4" r:id="rId4"/>
    <sheet name="Meta Fiscal do Montante da Dív" sheetId="5" r:id="rId5"/>
    <sheet name="Evolução do Patrim" sheetId="6" r:id="rId6"/>
    <sheet name="Origem e Aplicação dos Recursos" sheetId="7" r:id="rId7"/>
    <sheet name="Av Atuarial Previdência" sheetId="8" r:id="rId8"/>
    <sheet name="Renúncia de Receita" sheetId="9" r:id="rId9"/>
    <sheet name="Riscos Fiscais" sheetId="10" r:id="rId10"/>
  </sheets>
  <definedNames>
    <definedName name="_xlnm.Print_Area" localSheetId="7">'Av Atuarial Previdência'!$A$1:$G$26</definedName>
  </definedNames>
  <calcPr fullCalcOnLoad="1"/>
</workbook>
</file>

<file path=xl/comments10.xml><?xml version="1.0" encoding="utf-8"?>
<comments xmlns="http://schemas.openxmlformats.org/spreadsheetml/2006/main">
  <authors>
    <author>Prefeitura Municipal Uberaba</author>
  </authors>
  <commentList>
    <comment ref="A8" authorId="0">
      <text>
        <r>
          <rPr>
            <b/>
            <sz val="8"/>
            <rFont val="Tahoma"/>
            <family val="0"/>
          </rPr>
          <t>Prefeitura Municipal Uberaba: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<sst xmlns="http://schemas.openxmlformats.org/spreadsheetml/2006/main" count="167" uniqueCount="137">
  <si>
    <t>Metas Fiscais</t>
  </si>
  <si>
    <t>1 - Receita</t>
  </si>
  <si>
    <t>2 - Despesa</t>
  </si>
  <si>
    <t>3 - Resultado Primário</t>
  </si>
  <si>
    <t>4 - Resultado Nominal</t>
  </si>
  <si>
    <t>5 - Montante da Dívida</t>
  </si>
  <si>
    <t>Valor</t>
  </si>
  <si>
    <t>Metas Anuais</t>
  </si>
  <si>
    <t>ESPECIFICAÇÃO</t>
  </si>
  <si>
    <t xml:space="preserve"> Avaliação do Cumprimento das Metas Fiscais do Exercício Anterior</t>
  </si>
  <si>
    <t>Variação</t>
  </si>
  <si>
    <t>%</t>
  </si>
  <si>
    <t>Meta Fiscal - Resultado Primário</t>
  </si>
  <si>
    <t>1 - Receita Total</t>
  </si>
  <si>
    <t>(-) Rendimento de Aplicação Financeira</t>
  </si>
  <si>
    <t>(-) Operação de Crédito</t>
  </si>
  <si>
    <t>(-) Amortização de Empréstimos</t>
  </si>
  <si>
    <t>2 - Despesa Total</t>
  </si>
  <si>
    <t>(+) Reserva de Contingência</t>
  </si>
  <si>
    <t xml:space="preserve">Meta Fiscal - Resultado Nominal </t>
  </si>
  <si>
    <t>1 - Saldo da Dívida Consolidada</t>
  </si>
  <si>
    <r>
      <t xml:space="preserve">(-) </t>
    </r>
    <r>
      <rPr>
        <sz val="10"/>
        <rFont val="Arial"/>
        <family val="0"/>
      </rPr>
      <t>Disponibilidade de Caixa</t>
    </r>
  </si>
  <si>
    <t>(-) Aplicações Financeiras</t>
  </si>
  <si>
    <t>(-) Demais Ativos Financeiros</t>
  </si>
  <si>
    <t>(=) Saldo da Dívida Consolidada Líquida</t>
  </si>
  <si>
    <t>(+)Receitas de Privatizações</t>
  </si>
  <si>
    <t>(-)Passivos Reconhecidos</t>
  </si>
  <si>
    <t>(=) Saldo da Dívida Fiscal Líquida</t>
  </si>
  <si>
    <t>Meta Fiscal - Montante da Dívida</t>
  </si>
  <si>
    <t>Totais</t>
  </si>
  <si>
    <t>Demonstrativo da Evolução do Patrimônio Líquido</t>
  </si>
  <si>
    <t>ENTIDADES</t>
  </si>
  <si>
    <t>Demonstrativo da Origem e Aplicação dos Recursos com Alienação de Ativos</t>
  </si>
  <si>
    <t>ORIGEM</t>
  </si>
  <si>
    <t>Saldo do Exercício Anterior</t>
  </si>
  <si>
    <t>Total</t>
  </si>
  <si>
    <t>Saldo Exercício Seguinte</t>
  </si>
  <si>
    <t>Avaliação da Situação Financeira e Atuarial do Regime de Previdência</t>
  </si>
  <si>
    <t>Especificação</t>
  </si>
  <si>
    <t>Receita</t>
  </si>
  <si>
    <t>Despesa</t>
  </si>
  <si>
    <t>Disponibilidade Financeira</t>
  </si>
  <si>
    <t>Percentual de Contribuição</t>
  </si>
  <si>
    <t>(*) Previsão</t>
  </si>
  <si>
    <t>Eventos</t>
  </si>
  <si>
    <t>Estimativa</t>
  </si>
  <si>
    <t>1 - Renúncia da Receita</t>
  </si>
  <si>
    <t>3 - Receita Corrente Líquida - RCL</t>
  </si>
  <si>
    <t xml:space="preserve">4 - Impacto da Renúncia de Receita na Receita Cor Líquida (1/3) </t>
  </si>
  <si>
    <t>5 - Impacto das DOCC na RCL (2/3)</t>
  </si>
  <si>
    <t>6 - Compensação da Renúncia de Receita</t>
  </si>
  <si>
    <t xml:space="preserve">7 - Compensação para DOCC </t>
  </si>
  <si>
    <t>2 - Despesas Obrigatórias de Caráter Continuado - DOCC</t>
  </si>
  <si>
    <t xml:space="preserve">     Despesa Fiscal Líquida (II)</t>
  </si>
  <si>
    <t xml:space="preserve">    Receita Fiscal Líquida (I)</t>
  </si>
  <si>
    <t>Outros (Especificar)</t>
  </si>
  <si>
    <t>APLICAÇÃO</t>
  </si>
  <si>
    <t>Expansão(%)</t>
  </si>
  <si>
    <t>03 - BDMG</t>
  </si>
  <si>
    <t>04 - INSS</t>
  </si>
  <si>
    <t>05 - FGTS</t>
  </si>
  <si>
    <t>Prefeitura Municipal de Uberaba</t>
  </si>
  <si>
    <t>IPSERV - Instituto de Previdência dos Serv. Púb. Mun. Ura</t>
  </si>
  <si>
    <t>Probem</t>
  </si>
  <si>
    <t>Autarquia do Estádio Municipal</t>
  </si>
  <si>
    <t>FETI - Fundação de Ensino Técnico Intensivo</t>
  </si>
  <si>
    <t>Escola G.M Filho - Fundação Mun. P.Alta</t>
  </si>
  <si>
    <t>Fundação Cultural de Uberaba</t>
  </si>
  <si>
    <t>Arquivo Público de Uberaba</t>
  </si>
  <si>
    <t>Codau - Centro Operacional de Des. Uberaba</t>
  </si>
  <si>
    <t>Alienação de Bens Móveis e Imóveis</t>
  </si>
  <si>
    <t>Aquisição de Bens Móveis e Imóveis</t>
  </si>
  <si>
    <t xml:space="preserve">Metas Realizada em </t>
  </si>
  <si>
    <t>Metas Prevista para</t>
  </si>
  <si>
    <t>3 - Resultado Primário (I-II)</t>
  </si>
  <si>
    <t>(-) Amortização e Encargos da Dívida</t>
  </si>
  <si>
    <t>(-) Aquisição de Títulos de Capital Já Integralizado</t>
  </si>
  <si>
    <t>2 - Resultado Nominal</t>
  </si>
  <si>
    <t>06 - IPSERV</t>
  </si>
  <si>
    <t>07 - CODAU</t>
  </si>
  <si>
    <t>01 - Caixa Econômica Federal</t>
  </si>
  <si>
    <t>02 - Banco do Brasil S/A</t>
  </si>
  <si>
    <t>Anexo I - Artigo 4º  § 1º da LRF</t>
  </si>
  <si>
    <t>Artigo 4º  § 2º, II  da LRF</t>
  </si>
  <si>
    <t xml:space="preserve"> Artigo 4 , § 2º, I  da LRF</t>
  </si>
  <si>
    <t>Artigo 4º  § 2º, III da LRF</t>
  </si>
  <si>
    <t>Artigo 4º  § 2º, IV da LRF</t>
  </si>
  <si>
    <t>Artigo 4º  § 2º, V da LRF</t>
  </si>
  <si>
    <t>ANEXO I.2</t>
  </si>
  <si>
    <t xml:space="preserve">Anexo I </t>
  </si>
  <si>
    <t>ANEXO I.1</t>
  </si>
  <si>
    <t>ANEXO I.3</t>
  </si>
  <si>
    <t>ANEXO I.4</t>
  </si>
  <si>
    <t>ANEXO I.5</t>
  </si>
  <si>
    <t>ANEXO I.6</t>
  </si>
  <si>
    <t>ANEXO I.7</t>
  </si>
  <si>
    <t>ANEXO I.8</t>
  </si>
  <si>
    <t xml:space="preserve"> Diretrizes Orçamentárias - 2009</t>
  </si>
  <si>
    <t>Lei de Diretrizes Orçamentárias - 2009</t>
  </si>
  <si>
    <t>Diretrizes Orçamentárias - 2009</t>
  </si>
  <si>
    <t>08 - Outros</t>
  </si>
  <si>
    <t>(-) Alienação de Ativos</t>
  </si>
  <si>
    <t>(-) Concessão de Empréstimos</t>
  </si>
  <si>
    <t xml:space="preserve">08 - BIRD / AGUA VIVA </t>
  </si>
  <si>
    <t>09 - RELUZ</t>
  </si>
  <si>
    <t>(Fls 16)</t>
  </si>
  <si>
    <t>(Fls 17)</t>
  </si>
  <si>
    <t>(Fls 18)</t>
  </si>
  <si>
    <t>(Fls 19)</t>
  </si>
  <si>
    <t>(Fls 20)</t>
  </si>
  <si>
    <t>(Fls 21)</t>
  </si>
  <si>
    <t>(Fls 22)</t>
  </si>
  <si>
    <t>(Fls 23)</t>
  </si>
  <si>
    <t>(Fls 24)</t>
  </si>
  <si>
    <t>Demonstrativo da Estimativa e Compensação da Renúncia de Receita e Margem de Expansão das Despesas Obrigatórias de Caráter Continuado</t>
  </si>
  <si>
    <t>Riscos Fiscais</t>
  </si>
  <si>
    <t>ANEXO I.9</t>
  </si>
  <si>
    <t>Artigo 4º  § 3º da LRF</t>
  </si>
  <si>
    <t>Identificação dos Riscos</t>
  </si>
  <si>
    <t>Exercício 2009</t>
  </si>
  <si>
    <t>Unidade Gestora Prefeitura</t>
  </si>
  <si>
    <t>01 - Passivos Contingentes</t>
  </si>
  <si>
    <t>1.1 - Desapropriação de Imóveis</t>
  </si>
  <si>
    <t>1.2 - Ações Trabalhistas</t>
  </si>
  <si>
    <t>1.3 - Indenizações</t>
  </si>
  <si>
    <t>1.2 - Outros (Especificar)</t>
  </si>
  <si>
    <t>02 - Riscos Fiscais</t>
  </si>
  <si>
    <t>2.1 - Intempéries</t>
  </si>
  <si>
    <t>2.2 - Frustração na Cobrança da Dívida Ativa</t>
  </si>
  <si>
    <t>2.3 - Despesas Não Orçadas ou Orçadas a Menor</t>
  </si>
  <si>
    <t>2.4 - Outros (Especificar)</t>
  </si>
  <si>
    <t>03 - Eventos Fiscais Imprevistos</t>
  </si>
  <si>
    <t>3.1 - Ocorrência de Fatos Não Previstos em Execução de Obras ou Serviços</t>
  </si>
  <si>
    <t>3.2 - Campanhas de Saúde</t>
  </si>
  <si>
    <t>3.3 - Outros (Especificar)</t>
  </si>
  <si>
    <t>Total Geral</t>
  </si>
  <si>
    <t>(Fls 25)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</si>
</sst>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3" fontId="0" fillId="0" borderId="13" xfId="53" applyFont="1" applyBorder="1" applyAlignment="1">
      <alignment/>
    </xf>
    <xf numFmtId="4" fontId="1" fillId="0" borderId="14" xfId="53" applyNumberFormat="1" applyFont="1" applyBorder="1" applyAlignment="1">
      <alignment/>
    </xf>
    <xf numFmtId="4" fontId="1" fillId="0" borderId="13" xfId="53" applyNumberFormat="1" applyFont="1" applyBorder="1" applyAlignment="1">
      <alignment/>
    </xf>
    <xf numFmtId="4" fontId="1" fillId="0" borderId="15" xfId="53" applyNumberFormat="1" applyFont="1" applyBorder="1" applyAlignment="1">
      <alignment/>
    </xf>
    <xf numFmtId="4" fontId="0" fillId="0" borderId="13" xfId="53" applyNumberFormat="1" applyFont="1" applyBorder="1" applyAlignment="1">
      <alignment/>
    </xf>
    <xf numFmtId="4" fontId="0" fillId="0" borderId="13" xfId="53" applyNumberFormat="1" applyFont="1" applyBorder="1" applyAlignment="1">
      <alignment/>
    </xf>
    <xf numFmtId="4" fontId="0" fillId="0" borderId="15" xfId="53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8" fontId="4" fillId="0" borderId="18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2" fontId="0" fillId="0" borderId="15" xfId="0" applyNumberFormat="1" applyBorder="1" applyAlignment="1">
      <alignment/>
    </xf>
    <xf numFmtId="4" fontId="1" fillId="0" borderId="13" xfId="53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1" fillId="0" borderId="13" xfId="0" applyNumberFormat="1" applyFont="1" applyBorder="1" applyAlignment="1">
      <alignment horizontal="right"/>
    </xf>
    <xf numFmtId="39" fontId="0" fillId="0" borderId="13" xfId="47" applyNumberFormat="1" applyFont="1" applyBorder="1" applyAlignment="1">
      <alignment/>
    </xf>
    <xf numFmtId="4" fontId="0" fillId="0" borderId="15" xfId="53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53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4" fontId="1" fillId="0" borderId="16" xfId="53" applyNumberFormat="1" applyFont="1" applyBorder="1" applyAlignment="1">
      <alignment/>
    </xf>
    <xf numFmtId="4" fontId="1" fillId="0" borderId="17" xfId="53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1" fillId="33" borderId="13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4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21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1" fillId="0" borderId="4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21.00390625" style="0" customWidth="1"/>
    <col min="2" max="7" width="12.7109375" style="0" customWidth="1"/>
    <col min="9" max="9" width="11.00390625" style="0" bestFit="1" customWidth="1"/>
  </cols>
  <sheetData>
    <row r="1" ht="15.75">
      <c r="A1" s="58"/>
    </row>
    <row r="2" ht="15.75">
      <c r="A2" s="59"/>
    </row>
    <row r="3" ht="12.75">
      <c r="A3" s="60"/>
    </row>
    <row r="6" ht="12.75">
      <c r="G6" s="63" t="s">
        <v>105</v>
      </c>
    </row>
    <row r="8" ht="13.5" thickBot="1"/>
    <row r="9" spans="1:7" ht="3.75" customHeight="1" thickTop="1">
      <c r="A9" s="74" t="s">
        <v>0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89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97</v>
      </c>
      <c r="B12" s="73"/>
      <c r="C12" s="73"/>
      <c r="D12" s="73"/>
      <c r="E12" s="73"/>
      <c r="F12" s="73"/>
      <c r="G12" s="73"/>
    </row>
    <row r="13" spans="1:7" ht="13.5" customHeight="1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82</v>
      </c>
      <c r="B14" s="76"/>
      <c r="C14" s="76"/>
      <c r="D14" s="76"/>
      <c r="E14" s="76"/>
      <c r="F14" s="76"/>
      <c r="G14" s="76"/>
    </row>
    <row r="15" spans="1:7" ht="26.25" customHeight="1" thickTop="1">
      <c r="A15" s="79" t="s">
        <v>7</v>
      </c>
      <c r="B15" s="79"/>
      <c r="C15" s="79"/>
      <c r="D15" s="79"/>
      <c r="E15" s="79"/>
      <c r="F15" s="79"/>
      <c r="G15" s="79"/>
    </row>
    <row r="16" spans="1:7" ht="12.75">
      <c r="A16" s="81" t="s">
        <v>8</v>
      </c>
      <c r="B16" s="80">
        <v>2009</v>
      </c>
      <c r="C16" s="81"/>
      <c r="D16" s="80">
        <v>2010</v>
      </c>
      <c r="E16" s="81"/>
      <c r="F16" s="80">
        <v>2011</v>
      </c>
      <c r="G16" s="81"/>
    </row>
    <row r="17" spans="1:7" ht="12.75">
      <c r="A17" s="84"/>
      <c r="B17" s="82"/>
      <c r="C17" s="83"/>
      <c r="D17" s="82"/>
      <c r="E17" s="83"/>
      <c r="F17" s="82"/>
      <c r="G17" s="83"/>
    </row>
    <row r="18" spans="1:7" ht="12.75">
      <c r="A18" s="83"/>
      <c r="B18" s="77" t="s">
        <v>6</v>
      </c>
      <c r="C18" s="77"/>
      <c r="D18" s="77" t="s">
        <v>6</v>
      </c>
      <c r="E18" s="77"/>
      <c r="F18" s="77" t="s">
        <v>6</v>
      </c>
      <c r="G18" s="78"/>
    </row>
    <row r="19" spans="1:7" ht="19.5" customHeight="1">
      <c r="A19" s="3" t="s">
        <v>1</v>
      </c>
      <c r="B19" s="70">
        <f>381772384.23*1.095+9260806.91+1035150</f>
        <v>428336717.64185005</v>
      </c>
      <c r="C19" s="72"/>
      <c r="D19" s="70">
        <f>B19*1.095+4489685.67+1035151</f>
        <v>474553542.4878258</v>
      </c>
      <c r="E19" s="72"/>
      <c r="F19" s="70">
        <f>D19*1.095+4102603.75+517575</f>
        <v>524256307.77416927</v>
      </c>
      <c r="G19" s="71"/>
    </row>
    <row r="20" spans="1:7" ht="19.5" customHeight="1">
      <c r="A20" s="1" t="s">
        <v>2</v>
      </c>
      <c r="B20" s="70">
        <f>341373551.67*1.095+9260806.91+1035151</f>
        <v>384099996.98865</v>
      </c>
      <c r="C20" s="72"/>
      <c r="D20" s="70">
        <f>B20*1.095+4489685.67+1035151</f>
        <v>426114333.37257177</v>
      </c>
      <c r="E20" s="72"/>
      <c r="F20" s="70">
        <f>D20*1.095+4102603.75+517575</f>
        <v>471215373.79296607</v>
      </c>
      <c r="G20" s="71"/>
    </row>
    <row r="21" spans="1:7" ht="19.5" customHeight="1">
      <c r="A21" s="1" t="s">
        <v>3</v>
      </c>
      <c r="B21" s="70">
        <f>SUM(B19-B20)</f>
        <v>44236720.65320003</v>
      </c>
      <c r="C21" s="72"/>
      <c r="D21" s="70">
        <f>SUM(D19-D20)</f>
        <v>48439209.115254045</v>
      </c>
      <c r="E21" s="72"/>
      <c r="F21" s="70">
        <f>SUM(F19-F20)</f>
        <v>53040933.9812032</v>
      </c>
      <c r="G21" s="71"/>
    </row>
    <row r="22" spans="1:7" ht="19.5" customHeight="1">
      <c r="A22" s="1" t="s">
        <v>4</v>
      </c>
      <c r="B22" s="70">
        <f>8884575.11*1.095</f>
        <v>9728609.74545</v>
      </c>
      <c r="C22" s="72"/>
      <c r="D22" s="70">
        <f>B22*1.095</f>
        <v>10652827.67126775</v>
      </c>
      <c r="E22" s="72"/>
      <c r="F22" s="70">
        <f>D22*1.095</f>
        <v>11664846.300038185</v>
      </c>
      <c r="G22" s="71"/>
    </row>
    <row r="23" spans="1:10" ht="19.5" customHeight="1">
      <c r="A23" s="1" t="s">
        <v>5</v>
      </c>
      <c r="B23" s="70">
        <f>68127248.5*1.095+9751611.41</f>
        <v>84350948.5175</v>
      </c>
      <c r="C23" s="72"/>
      <c r="D23" s="70">
        <f>B23*1.095+4784959.17</f>
        <v>97149247.7966625</v>
      </c>
      <c r="E23" s="72"/>
      <c r="F23" s="70">
        <f>D23*1.095+3318632</f>
        <v>109697058.33734544</v>
      </c>
      <c r="G23" s="71"/>
      <c r="I23" s="69"/>
      <c r="J23" s="69"/>
    </row>
    <row r="24" spans="1:7" ht="18" customHeight="1" thickBot="1">
      <c r="A24" s="2"/>
      <c r="B24" s="2"/>
      <c r="C24" s="2"/>
      <c r="D24" s="2"/>
      <c r="E24" s="2"/>
      <c r="F24" s="2"/>
      <c r="G24" s="2"/>
    </row>
    <row r="25" ht="13.5" thickTop="1"/>
    <row r="36" ht="15">
      <c r="B36" s="4"/>
    </row>
  </sheetData>
  <sheetProtection/>
  <mergeCells count="28">
    <mergeCell ref="B18:C18"/>
    <mergeCell ref="D18:E18"/>
    <mergeCell ref="F18:G18"/>
    <mergeCell ref="A15:G15"/>
    <mergeCell ref="B16:C17"/>
    <mergeCell ref="D16:E17"/>
    <mergeCell ref="F16:G17"/>
    <mergeCell ref="A16:A18"/>
    <mergeCell ref="A12:G12"/>
    <mergeCell ref="A9:G10"/>
    <mergeCell ref="B19:C19"/>
    <mergeCell ref="B20:C20"/>
    <mergeCell ref="F19:G19"/>
    <mergeCell ref="F20:G20"/>
    <mergeCell ref="D19:E19"/>
    <mergeCell ref="D20:E20"/>
    <mergeCell ref="A11:G11"/>
    <mergeCell ref="A14:G14"/>
    <mergeCell ref="I23:J23"/>
    <mergeCell ref="F23:G23"/>
    <mergeCell ref="B21:C21"/>
    <mergeCell ref="B22:C22"/>
    <mergeCell ref="B23:C23"/>
    <mergeCell ref="D23:E23"/>
    <mergeCell ref="D21:E21"/>
    <mergeCell ref="D22:E22"/>
    <mergeCell ref="F21:G21"/>
    <mergeCell ref="F22:G22"/>
  </mergeCells>
  <printOptions horizontalCentered="1" verticalCentered="1"/>
  <pageMargins left="2.362204724409449" right="0.3937007874015748" top="0.5905511811023623" bottom="0.5905511811023623" header="0.5118110236220472" footer="0.5118110236220472"/>
  <pageSetup firstPageNumber="74" useFirstPageNumber="1" horizontalDpi="600" verticalDpi="600" orientation="landscape" paperSize="9" scale="91" r:id="rId3"/>
  <headerFooter alignWithMargins="0">
    <oddHeader>&amp;R  
</oddHeader>
  </headerFooter>
  <legacyDrawing r:id="rId2"/>
  <oleObjects>
    <oleObject progId="Word.Document.8" shapeId="13281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7:G36"/>
  <sheetViews>
    <sheetView showGridLines="0" view="pageBreakPreview" zoomScale="60" zoomScalePageLayoutView="0" workbookViewId="0" topLeftCell="A1">
      <selection activeCell="M19" sqref="M19"/>
    </sheetView>
  </sheetViews>
  <sheetFormatPr defaultColWidth="9.140625" defaultRowHeight="12.75"/>
  <cols>
    <col min="1" max="1" width="20.8515625" style="0" customWidth="1"/>
    <col min="2" max="2" width="13.00390625" style="0" customWidth="1"/>
    <col min="3" max="3" width="12.7109375" style="0" customWidth="1"/>
    <col min="4" max="4" width="19.140625" style="0" customWidth="1"/>
    <col min="5" max="5" width="13.140625" style="0" customWidth="1"/>
    <col min="6" max="6" width="3.28125" style="0" customWidth="1"/>
    <col min="7" max="7" width="12.00390625" style="0" customWidth="1"/>
  </cols>
  <sheetData>
    <row r="7" ht="13.5" thickBot="1">
      <c r="G7" t="s">
        <v>136</v>
      </c>
    </row>
    <row r="8" spans="1:7" ht="13.5" customHeight="1" thickTop="1">
      <c r="A8" s="152" t="s">
        <v>115</v>
      </c>
      <c r="B8" s="152"/>
      <c r="C8" s="152"/>
      <c r="D8" s="152"/>
      <c r="E8" s="152"/>
      <c r="F8" s="152"/>
      <c r="G8" s="152"/>
    </row>
    <row r="9" spans="1:7" ht="12.75" customHeight="1">
      <c r="A9" s="153"/>
      <c r="B9" s="153"/>
      <c r="C9" s="153"/>
      <c r="D9" s="153"/>
      <c r="E9" s="153"/>
      <c r="F9" s="153"/>
      <c r="G9" s="153"/>
    </row>
    <row r="10" spans="1:7" ht="18">
      <c r="A10" s="153" t="s">
        <v>116</v>
      </c>
      <c r="B10" s="153"/>
      <c r="C10" s="153"/>
      <c r="D10" s="153"/>
      <c r="E10" s="153"/>
      <c r="F10" s="153"/>
      <c r="G10" s="153"/>
    </row>
    <row r="11" spans="1:7" ht="15.75">
      <c r="A11" s="73" t="s">
        <v>99</v>
      </c>
      <c r="B11" s="73"/>
      <c r="C11" s="73"/>
      <c r="D11" s="73"/>
      <c r="E11" s="73"/>
      <c r="F11" s="73"/>
      <c r="G11" s="73"/>
    </row>
    <row r="12" spans="1:7" ht="18.75" thickBot="1">
      <c r="A12" s="28"/>
      <c r="B12" s="28"/>
      <c r="C12" s="28"/>
      <c r="D12" s="28"/>
      <c r="E12" s="28"/>
      <c r="F12" s="28"/>
      <c r="G12" s="29">
        <v>1000</v>
      </c>
    </row>
    <row r="13" spans="1:7" ht="14.25" thickBot="1" thickTop="1">
      <c r="A13" s="76" t="s">
        <v>117</v>
      </c>
      <c r="B13" s="76"/>
      <c r="C13" s="76"/>
      <c r="D13" s="76"/>
      <c r="E13" s="76"/>
      <c r="F13" s="76"/>
      <c r="G13" s="76"/>
    </row>
    <row r="14" spans="1:7" ht="13.5" thickTop="1">
      <c r="A14" s="86" t="s">
        <v>118</v>
      </c>
      <c r="B14" s="86"/>
      <c r="C14" s="86"/>
      <c r="D14" s="102"/>
      <c r="E14" s="85" t="s">
        <v>119</v>
      </c>
      <c r="F14" s="86"/>
      <c r="G14" s="86"/>
    </row>
    <row r="15" spans="1:7" ht="12.75">
      <c r="A15" s="101"/>
      <c r="B15" s="101"/>
      <c r="C15" s="101"/>
      <c r="D15" s="84"/>
      <c r="E15" s="88"/>
      <c r="F15" s="101"/>
      <c r="G15" s="101"/>
    </row>
    <row r="16" spans="1:7" ht="12.75">
      <c r="A16" s="101"/>
      <c r="B16" s="101"/>
      <c r="C16" s="101"/>
      <c r="D16" s="84"/>
      <c r="E16" s="88"/>
      <c r="F16" s="101"/>
      <c r="G16" s="101"/>
    </row>
    <row r="17" spans="1:7" ht="12.75">
      <c r="A17" s="87"/>
      <c r="B17" s="87"/>
      <c r="C17" s="87"/>
      <c r="D17" s="83"/>
      <c r="E17" s="82"/>
      <c r="F17" s="87"/>
      <c r="G17" s="87"/>
    </row>
    <row r="18" spans="1:7" ht="12.75">
      <c r="A18" s="103" t="s">
        <v>120</v>
      </c>
      <c r="B18" s="103"/>
      <c r="C18" s="103"/>
      <c r="D18" s="103"/>
      <c r="E18" s="103"/>
      <c r="F18" s="103"/>
      <c r="G18" s="103"/>
    </row>
    <row r="19" spans="1:7" ht="12.75">
      <c r="A19" s="93" t="s">
        <v>121</v>
      </c>
      <c r="B19" s="93"/>
      <c r="C19" s="93"/>
      <c r="D19" s="94"/>
      <c r="E19" s="148">
        <v>2500000</v>
      </c>
      <c r="F19" s="149"/>
      <c r="G19" s="149"/>
    </row>
    <row r="20" spans="1:7" ht="12.75">
      <c r="A20" s="114" t="s">
        <v>122</v>
      </c>
      <c r="B20" s="114"/>
      <c r="C20" s="114"/>
      <c r="D20" s="115"/>
      <c r="E20" s="150">
        <v>2500000</v>
      </c>
      <c r="F20" s="151"/>
      <c r="G20" s="151"/>
    </row>
    <row r="21" spans="1:7" ht="12.75">
      <c r="A21" s="61" t="s">
        <v>123</v>
      </c>
      <c r="B21" s="61"/>
      <c r="C21" s="61"/>
      <c r="D21" s="62"/>
      <c r="E21" s="22"/>
      <c r="F21" s="64"/>
      <c r="G21" s="64"/>
    </row>
    <row r="22" spans="1:7" ht="12.75">
      <c r="A22" s="61" t="s">
        <v>124</v>
      </c>
      <c r="B22" s="61"/>
      <c r="C22" s="61"/>
      <c r="D22" s="62"/>
      <c r="E22" s="22"/>
      <c r="F22" s="64"/>
      <c r="G22" s="64"/>
    </row>
    <row r="23" spans="1:7" ht="12.75">
      <c r="A23" s="114" t="s">
        <v>125</v>
      </c>
      <c r="B23" s="114"/>
      <c r="C23" s="114"/>
      <c r="D23" s="115"/>
      <c r="E23" s="150"/>
      <c r="F23" s="151"/>
      <c r="G23" s="151"/>
    </row>
    <row r="24" spans="1:7" ht="12.75">
      <c r="A24" s="61"/>
      <c r="B24" s="61"/>
      <c r="C24" s="61"/>
      <c r="D24" s="62"/>
      <c r="E24" s="22"/>
      <c r="F24" s="64"/>
      <c r="G24" s="64"/>
    </row>
    <row r="25" spans="1:7" ht="12.75">
      <c r="A25" s="93" t="s">
        <v>126</v>
      </c>
      <c r="B25" s="93"/>
      <c r="C25" s="93"/>
      <c r="D25" s="94"/>
      <c r="E25" s="148"/>
      <c r="F25" s="149"/>
      <c r="G25" s="149"/>
    </row>
    <row r="26" spans="1:7" ht="12.75">
      <c r="A26" s="114" t="s">
        <v>127</v>
      </c>
      <c r="B26" s="114"/>
      <c r="C26" s="114"/>
      <c r="D26" s="115"/>
      <c r="E26" s="150"/>
      <c r="F26" s="151"/>
      <c r="G26" s="151"/>
    </row>
    <row r="27" spans="1:7" ht="12.75">
      <c r="A27" s="114" t="s">
        <v>128</v>
      </c>
      <c r="B27" s="114"/>
      <c r="C27" s="114"/>
      <c r="D27" s="115"/>
      <c r="E27" s="150"/>
      <c r="F27" s="151"/>
      <c r="G27" s="151"/>
    </row>
    <row r="28" spans="1:7" ht="12.75">
      <c r="A28" s="144" t="s">
        <v>129</v>
      </c>
      <c r="B28" s="144"/>
      <c r="C28" s="144"/>
      <c r="D28" s="145"/>
      <c r="E28" s="146"/>
      <c r="F28" s="147"/>
      <c r="G28" s="147"/>
    </row>
    <row r="29" spans="1:7" ht="12.75">
      <c r="A29" s="65" t="s">
        <v>130</v>
      </c>
      <c r="B29" s="65"/>
      <c r="C29" s="65"/>
      <c r="D29" s="66"/>
      <c r="E29" s="67"/>
      <c r="F29" s="68"/>
      <c r="G29" s="68"/>
    </row>
    <row r="30" spans="1:7" ht="12.75">
      <c r="A30" s="65"/>
      <c r="B30" s="65"/>
      <c r="C30" s="65"/>
      <c r="D30" s="66"/>
      <c r="E30" s="67"/>
      <c r="F30" s="68"/>
      <c r="G30" s="68"/>
    </row>
    <row r="31" spans="1:7" ht="12.75">
      <c r="A31" s="93" t="s">
        <v>131</v>
      </c>
      <c r="B31" s="93"/>
      <c r="C31" s="93"/>
      <c r="D31" s="94"/>
      <c r="E31" s="148"/>
      <c r="F31" s="149"/>
      <c r="G31" s="149"/>
    </row>
    <row r="32" spans="1:7" ht="12.75">
      <c r="A32" s="114" t="s">
        <v>132</v>
      </c>
      <c r="B32" s="114"/>
      <c r="C32" s="114"/>
      <c r="D32" s="115"/>
      <c r="E32" s="67"/>
      <c r="F32" s="68"/>
      <c r="G32" s="68"/>
    </row>
    <row r="33" spans="1:7" ht="12.75">
      <c r="A33" s="114" t="s">
        <v>133</v>
      </c>
      <c r="B33" s="114"/>
      <c r="C33" s="114"/>
      <c r="D33" s="115"/>
      <c r="E33" s="67"/>
      <c r="F33" s="68"/>
      <c r="G33" s="68"/>
    </row>
    <row r="34" spans="1:7" ht="12.75">
      <c r="A34" s="61" t="s">
        <v>134</v>
      </c>
      <c r="B34" s="61"/>
      <c r="C34" s="61"/>
      <c r="D34" s="62"/>
      <c r="E34" s="67"/>
      <c r="F34" s="68"/>
      <c r="G34" s="68"/>
    </row>
    <row r="35" spans="1:7" ht="13.5" thickBot="1">
      <c r="A35" s="112" t="s">
        <v>35</v>
      </c>
      <c r="B35" s="112"/>
      <c r="C35" s="112"/>
      <c r="D35" s="113"/>
      <c r="E35" s="138">
        <f>E20</f>
        <v>2500000</v>
      </c>
      <c r="F35" s="139"/>
      <c r="G35" s="139"/>
    </row>
    <row r="36" spans="1:7" ht="14.25" thickBot="1" thickTop="1">
      <c r="A36" s="140" t="s">
        <v>135</v>
      </c>
      <c r="B36" s="140"/>
      <c r="C36" s="140"/>
      <c r="D36" s="141"/>
      <c r="E36" s="142">
        <f>E35</f>
        <v>2500000</v>
      </c>
      <c r="F36" s="143"/>
      <c r="G36" s="143"/>
    </row>
    <row r="37" ht="13.5" thickTop="1"/>
  </sheetData>
  <sheetProtection/>
  <mergeCells count="29">
    <mergeCell ref="A8:G9"/>
    <mergeCell ref="A10:G10"/>
    <mergeCell ref="A11:G11"/>
    <mergeCell ref="A13:G13"/>
    <mergeCell ref="A14:D17"/>
    <mergeCell ref="E14:G17"/>
    <mergeCell ref="A18:G18"/>
    <mergeCell ref="A19:D19"/>
    <mergeCell ref="E19:G19"/>
    <mergeCell ref="A20:D20"/>
    <mergeCell ref="E20:G20"/>
    <mergeCell ref="A23:D23"/>
    <mergeCell ref="E23:G23"/>
    <mergeCell ref="A25:D25"/>
    <mergeCell ref="E25:G25"/>
    <mergeCell ref="A26:D26"/>
    <mergeCell ref="E26:G26"/>
    <mergeCell ref="A27:D27"/>
    <mergeCell ref="E27:G27"/>
    <mergeCell ref="A35:D35"/>
    <mergeCell ref="E35:G35"/>
    <mergeCell ref="A36:D36"/>
    <mergeCell ref="E36:G36"/>
    <mergeCell ref="A28:D28"/>
    <mergeCell ref="E28:G28"/>
    <mergeCell ref="A31:D31"/>
    <mergeCell ref="E31:G31"/>
    <mergeCell ref="A32:D32"/>
    <mergeCell ref="A33:D3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2" r:id="rId4"/>
  <legacyDrawing r:id="rId3"/>
  <oleObjects>
    <oleObject progId="Word.Document.8" shapeId="1366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5" width="12.7109375" style="0" customWidth="1"/>
    <col min="6" max="6" width="13.421875" style="0" bestFit="1" customWidth="1"/>
    <col min="7" max="7" width="12.7109375" style="0" customWidth="1"/>
  </cols>
  <sheetData>
    <row r="1" ht="15.75">
      <c r="A1" s="58"/>
    </row>
    <row r="2" ht="15.75">
      <c r="A2" s="59"/>
    </row>
    <row r="3" ht="12.75">
      <c r="A3" s="60"/>
    </row>
    <row r="6" ht="12.75">
      <c r="G6" s="63" t="s">
        <v>106</v>
      </c>
    </row>
    <row r="8" ht="13.5" thickBot="1"/>
    <row r="9" spans="1:7" ht="3.75" customHeight="1" thickTop="1">
      <c r="A9" s="74" t="s">
        <v>9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90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97</v>
      </c>
      <c r="B12" s="73"/>
      <c r="C12" s="73"/>
      <c r="D12" s="73"/>
      <c r="E12" s="73"/>
      <c r="F12" s="73"/>
      <c r="G12" s="73"/>
    </row>
    <row r="13" spans="1:7" s="37" customFormat="1" ht="27" customHeight="1" thickBot="1">
      <c r="A13" s="27"/>
      <c r="B13" s="27"/>
      <c r="C13" s="27"/>
      <c r="D13" s="27"/>
      <c r="E13" s="27"/>
      <c r="F13" s="27"/>
      <c r="G13" s="29">
        <v>1000</v>
      </c>
    </row>
    <row r="14" spans="1:7" ht="14.25" thickBot="1" thickTop="1">
      <c r="A14" s="76" t="s">
        <v>84</v>
      </c>
      <c r="B14" s="76"/>
      <c r="C14" s="76"/>
      <c r="D14" s="76"/>
      <c r="E14" s="76"/>
      <c r="F14" s="76"/>
      <c r="G14" s="76"/>
    </row>
    <row r="15" spans="1:7" ht="13.5" thickTop="1">
      <c r="A15" s="89" t="s">
        <v>8</v>
      </c>
      <c r="B15" s="91" t="s">
        <v>72</v>
      </c>
      <c r="C15" s="92"/>
      <c r="D15" s="91" t="s">
        <v>73</v>
      </c>
      <c r="E15" s="92"/>
      <c r="F15" s="85" t="s">
        <v>10</v>
      </c>
      <c r="G15" s="86"/>
    </row>
    <row r="16" spans="1:7" ht="12.75">
      <c r="A16" s="90"/>
      <c r="B16" s="80">
        <v>2007</v>
      </c>
      <c r="C16" s="81"/>
      <c r="D16" s="80">
        <v>2008</v>
      </c>
      <c r="E16" s="81"/>
      <c r="F16" s="82"/>
      <c r="G16" s="87"/>
    </row>
    <row r="17" spans="1:7" ht="12.75">
      <c r="A17" s="90"/>
      <c r="B17" s="88"/>
      <c r="C17" s="84"/>
      <c r="D17" s="88"/>
      <c r="E17" s="84"/>
      <c r="F17" s="80" t="s">
        <v>6</v>
      </c>
      <c r="G17" s="80" t="s">
        <v>11</v>
      </c>
    </row>
    <row r="18" spans="1:7" ht="12.75">
      <c r="A18" s="90"/>
      <c r="B18" s="82"/>
      <c r="C18" s="83"/>
      <c r="D18" s="82"/>
      <c r="E18" s="83"/>
      <c r="F18" s="88"/>
      <c r="G18" s="88"/>
    </row>
    <row r="19" spans="1:7" ht="19.5" customHeight="1">
      <c r="A19" s="3" t="s">
        <v>1</v>
      </c>
      <c r="B19" s="70">
        <v>348650579.21</v>
      </c>
      <c r="C19" s="72"/>
      <c r="D19" s="70">
        <f>348650579.21*1.095+22478447.84</f>
        <v>404250832.0749499</v>
      </c>
      <c r="E19" s="72"/>
      <c r="F19" s="8">
        <f>D19-B19</f>
        <v>55600252.86494994</v>
      </c>
      <c r="G19" s="38">
        <f>SUM(D19/B19%)-(100)</f>
        <v>15.947271044532144</v>
      </c>
    </row>
    <row r="20" spans="1:7" ht="19.5" customHeight="1">
      <c r="A20" s="1" t="s">
        <v>2</v>
      </c>
      <c r="B20" s="70">
        <v>341373551.67</v>
      </c>
      <c r="C20" s="72"/>
      <c r="D20" s="70">
        <f>B20*1.095+22478447.84</f>
        <v>396282486.91865</v>
      </c>
      <c r="E20" s="72"/>
      <c r="F20" s="8">
        <f>D20-B20</f>
        <v>54908935.248649955</v>
      </c>
      <c r="G20" s="38">
        <f>SUM(D20/B20%)-(100)</f>
        <v>16.08470690832239</v>
      </c>
    </row>
    <row r="21" spans="1:7" ht="19.5" customHeight="1">
      <c r="A21" s="1" t="s">
        <v>3</v>
      </c>
      <c r="B21" s="70">
        <f>SUM(B19-B20)</f>
        <v>7277027.539999962</v>
      </c>
      <c r="C21" s="72"/>
      <c r="D21" s="70">
        <f>SUM(D19-D20)</f>
        <v>7968345.156299949</v>
      </c>
      <c r="E21" s="72"/>
      <c r="F21" s="8">
        <f>SUM(F19-F20)</f>
        <v>691317.6162999868</v>
      </c>
      <c r="G21" s="38">
        <f>SUM(D21/B21%)-(100)</f>
        <v>9.499999999999872</v>
      </c>
    </row>
    <row r="22" spans="1:7" ht="19.5" customHeight="1">
      <c r="A22" s="1" t="s">
        <v>4</v>
      </c>
      <c r="B22" s="70">
        <v>8113767.22</v>
      </c>
      <c r="C22" s="72"/>
      <c r="D22" s="70">
        <f>B22*1.095</f>
        <v>8884575.105899999</v>
      </c>
      <c r="E22" s="72"/>
      <c r="F22" s="8">
        <f>SUM(F20-F21)</f>
        <v>54217617.63234997</v>
      </c>
      <c r="G22" s="38">
        <f>SUM(D22/B22%)-(100)</f>
        <v>9.499999999999986</v>
      </c>
    </row>
    <row r="23" spans="1:7" ht="19.5" customHeight="1">
      <c r="A23" s="1" t="s">
        <v>5</v>
      </c>
      <c r="B23" s="70">
        <v>62216665.3</v>
      </c>
      <c r="C23" s="72"/>
      <c r="D23" s="70">
        <f>B23*1.095</f>
        <v>68127248.5035</v>
      </c>
      <c r="E23" s="72"/>
      <c r="F23" s="8">
        <f>SUM(F21-F22)</f>
        <v>-53526300.01604998</v>
      </c>
      <c r="G23" s="38">
        <f>SUM(D23/B23%)-(100)</f>
        <v>9.500000000000014</v>
      </c>
    </row>
    <row r="24" spans="1:7" ht="18" customHeight="1" thickBot="1">
      <c r="A24" s="2"/>
      <c r="B24" s="2"/>
      <c r="C24" s="2"/>
      <c r="D24" s="2"/>
      <c r="E24" s="2"/>
      <c r="F24" s="2"/>
      <c r="G24" s="2"/>
    </row>
    <row r="25" ht="13.5" thickTop="1"/>
    <row r="36" ht="15">
      <c r="B36" s="4"/>
    </row>
  </sheetData>
  <sheetProtection/>
  <mergeCells count="22">
    <mergeCell ref="A11:G11"/>
    <mergeCell ref="B22:C22"/>
    <mergeCell ref="D21:E21"/>
    <mergeCell ref="D20:E20"/>
    <mergeCell ref="A9:G10"/>
    <mergeCell ref="A15:A18"/>
    <mergeCell ref="A14:G14"/>
    <mergeCell ref="B15:C15"/>
    <mergeCell ref="D15:E15"/>
    <mergeCell ref="A12:G12"/>
    <mergeCell ref="B23:C23"/>
    <mergeCell ref="D19:E19"/>
    <mergeCell ref="D22:E22"/>
    <mergeCell ref="D23:E23"/>
    <mergeCell ref="B19:C19"/>
    <mergeCell ref="F17:F18"/>
    <mergeCell ref="B20:C20"/>
    <mergeCell ref="B21:C21"/>
    <mergeCell ref="F15:G16"/>
    <mergeCell ref="B16:C18"/>
    <mergeCell ref="D16:E18"/>
    <mergeCell ref="G17:G18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ignoredErrors>
    <ignoredError sqref="D21" formula="1"/>
  </ignoredErrors>
  <legacyDrawing r:id="rId2"/>
  <oleObjects>
    <oleObject progId="Word.Document.8" shapeId="1332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21.00390625" style="0" customWidth="1"/>
    <col min="2" max="4" width="12.7109375" style="0" customWidth="1"/>
    <col min="5" max="7" width="13.8515625" style="0" bestFit="1" customWidth="1"/>
  </cols>
  <sheetData>
    <row r="1" ht="15.75">
      <c r="A1" s="58"/>
    </row>
    <row r="2" ht="15.75">
      <c r="A2" s="59"/>
    </row>
    <row r="3" ht="15.75">
      <c r="A3" s="59"/>
    </row>
    <row r="4" ht="15.75">
      <c r="A4" s="59"/>
    </row>
    <row r="5" ht="12.75">
      <c r="G5" s="63" t="s">
        <v>107</v>
      </c>
    </row>
    <row r="6" ht="13.5" thickBot="1"/>
    <row r="7" spans="1:7" ht="3.75" customHeight="1" thickTop="1">
      <c r="A7" s="74" t="s">
        <v>12</v>
      </c>
      <c r="B7" s="74"/>
      <c r="C7" s="74"/>
      <c r="D7" s="74"/>
      <c r="E7" s="74"/>
      <c r="F7" s="74"/>
      <c r="G7" s="74"/>
    </row>
    <row r="8" spans="1:7" ht="27" customHeight="1">
      <c r="A8" s="75"/>
      <c r="B8" s="75"/>
      <c r="C8" s="75"/>
      <c r="D8" s="75"/>
      <c r="E8" s="75"/>
      <c r="F8" s="75"/>
      <c r="G8" s="75"/>
    </row>
    <row r="9" spans="1:7" ht="27" customHeight="1">
      <c r="A9" s="75" t="s">
        <v>88</v>
      </c>
      <c r="B9" s="75"/>
      <c r="C9" s="75"/>
      <c r="D9" s="75"/>
      <c r="E9" s="75"/>
      <c r="F9" s="75"/>
      <c r="G9" s="75"/>
    </row>
    <row r="10" spans="1:7" ht="27" customHeight="1">
      <c r="A10" s="73" t="s">
        <v>97</v>
      </c>
      <c r="B10" s="73"/>
      <c r="C10" s="73"/>
      <c r="D10" s="73"/>
      <c r="E10" s="73"/>
      <c r="F10" s="73"/>
      <c r="G10" s="73"/>
    </row>
    <row r="11" spans="1:7" ht="27" customHeight="1" thickBot="1">
      <c r="A11" s="28"/>
      <c r="B11" s="28"/>
      <c r="C11" s="28"/>
      <c r="D11" s="28"/>
      <c r="E11" s="28"/>
      <c r="F11" s="28"/>
      <c r="G11" s="29">
        <v>1000</v>
      </c>
    </row>
    <row r="12" spans="1:7" ht="14.25" thickBot="1" thickTop="1">
      <c r="A12" s="76" t="s">
        <v>83</v>
      </c>
      <c r="B12" s="76"/>
      <c r="C12" s="76"/>
      <c r="D12" s="76"/>
      <c r="E12" s="76"/>
      <c r="F12" s="76"/>
      <c r="G12" s="76"/>
    </row>
    <row r="13" spans="1:7" ht="13.5" thickTop="1">
      <c r="A13" s="86" t="s">
        <v>8</v>
      </c>
      <c r="B13" s="86"/>
      <c r="C13" s="86"/>
      <c r="D13" s="102"/>
      <c r="E13" s="85">
        <v>2009</v>
      </c>
      <c r="F13" s="98">
        <v>2010</v>
      </c>
      <c r="G13" s="86">
        <v>2011</v>
      </c>
    </row>
    <row r="14" spans="1:7" ht="12.75">
      <c r="A14" s="101"/>
      <c r="B14" s="101"/>
      <c r="C14" s="101"/>
      <c r="D14" s="84"/>
      <c r="E14" s="88"/>
      <c r="F14" s="99"/>
      <c r="G14" s="101"/>
    </row>
    <row r="15" spans="1:7" ht="12.75">
      <c r="A15" s="101"/>
      <c r="B15" s="101"/>
      <c r="C15" s="101"/>
      <c r="D15" s="84"/>
      <c r="E15" s="88"/>
      <c r="F15" s="99"/>
      <c r="G15" s="101"/>
    </row>
    <row r="16" spans="1:7" ht="12.75">
      <c r="A16" s="87"/>
      <c r="B16" s="87"/>
      <c r="C16" s="87"/>
      <c r="D16" s="83"/>
      <c r="E16" s="82"/>
      <c r="F16" s="100"/>
      <c r="G16" s="87"/>
    </row>
    <row r="17" spans="1:7" s="6" customFormat="1" ht="19.5" customHeight="1">
      <c r="A17" s="93" t="s">
        <v>13</v>
      </c>
      <c r="B17" s="93"/>
      <c r="C17" s="93"/>
      <c r="D17" s="94"/>
      <c r="E17" s="16">
        <f>348650579.21*1.095+9260806.91+1035150</f>
        <v>392068341.14495</v>
      </c>
      <c r="F17" s="17">
        <f>E17*1.095+4489685.67+1035150</f>
        <v>434839669.22372025</v>
      </c>
      <c r="G17" s="18">
        <f>F17*1.095+4102603.75+517575</f>
        <v>480769616.54997367</v>
      </c>
    </row>
    <row r="18" spans="1:7" ht="19.5" customHeight="1">
      <c r="A18" s="95" t="s">
        <v>14</v>
      </c>
      <c r="B18" s="95"/>
      <c r="C18" s="95"/>
      <c r="D18" s="96"/>
      <c r="E18" s="19">
        <f>8360165.87*1.095</f>
        <v>9154381.62765</v>
      </c>
      <c r="F18" s="20">
        <f>SUM(E18*1.095)</f>
        <v>10024047.88227675</v>
      </c>
      <c r="G18" s="21">
        <f>SUM(F18*1.095)</f>
        <v>10976332.43109304</v>
      </c>
    </row>
    <row r="19" spans="1:7" ht="19.5" customHeight="1">
      <c r="A19" s="95" t="s">
        <v>15</v>
      </c>
      <c r="B19" s="95"/>
      <c r="C19" s="95"/>
      <c r="D19" s="96"/>
      <c r="E19" s="19">
        <f>4720435.94*1.095+9260806.91+1035150</f>
        <v>15464834.2643</v>
      </c>
      <c r="F19" s="20">
        <f>SUM(E19*1.095)+4489685.67+1035150</f>
        <v>22458829.189408496</v>
      </c>
      <c r="G19" s="21">
        <f>SUM(F19*1.095)+4102603.75+517575</f>
        <v>29212596.712402303</v>
      </c>
    </row>
    <row r="20" spans="1:7" ht="19.5" customHeight="1">
      <c r="A20" s="95" t="s">
        <v>16</v>
      </c>
      <c r="B20" s="95"/>
      <c r="C20" s="95"/>
      <c r="D20" s="96"/>
      <c r="E20" s="19">
        <f>0*1.095</f>
        <v>0</v>
      </c>
      <c r="F20" s="19">
        <f>0*1.095</f>
        <v>0</v>
      </c>
      <c r="G20" s="43">
        <f>0*1.095</f>
        <v>0</v>
      </c>
    </row>
    <row r="21" spans="1:7" ht="19.5" customHeight="1">
      <c r="A21" s="95" t="s">
        <v>101</v>
      </c>
      <c r="B21" s="95"/>
      <c r="C21" s="95"/>
      <c r="D21" s="96"/>
      <c r="E21" s="19">
        <f>62000*1.095</f>
        <v>67890</v>
      </c>
      <c r="F21" s="20">
        <f>E21*1.095</f>
        <v>74339.55</v>
      </c>
      <c r="G21" s="21">
        <f>F21*1.095</f>
        <v>81401.80725</v>
      </c>
    </row>
    <row r="22" spans="1:7" s="6" customFormat="1" ht="19.5" customHeight="1">
      <c r="A22" s="93" t="s">
        <v>54</v>
      </c>
      <c r="B22" s="93"/>
      <c r="C22" s="93"/>
      <c r="D22" s="94"/>
      <c r="E22" s="18">
        <f>+E17-E18-E19-E20-E21</f>
        <v>367381235.25299996</v>
      </c>
      <c r="F22" s="18">
        <f>+F17-F18-F19-F20-F21</f>
        <v>402282452.602035</v>
      </c>
      <c r="G22" s="18">
        <f>+G17-G18-G19-G20-G21</f>
        <v>440499285.5992283</v>
      </c>
    </row>
    <row r="23" spans="1:7" s="6" customFormat="1" ht="19.5" customHeight="1">
      <c r="A23" s="93" t="s">
        <v>17</v>
      </c>
      <c r="B23" s="93"/>
      <c r="C23" s="93"/>
      <c r="D23" s="94"/>
      <c r="E23" s="16">
        <f>373804039.07*1.095</f>
        <v>409315422.78165</v>
      </c>
      <c r="F23" s="17">
        <f>E23*1.095</f>
        <v>448200387.94590676</v>
      </c>
      <c r="G23" s="18">
        <f>F23*1.095</f>
        <v>490779424.8007679</v>
      </c>
    </row>
    <row r="24" spans="1:7" ht="19.5" customHeight="1">
      <c r="A24" s="95" t="s">
        <v>75</v>
      </c>
      <c r="B24" s="95"/>
      <c r="C24" s="95"/>
      <c r="D24" s="96"/>
      <c r="E24" s="19">
        <f>7948276.66*1.095+95598+140311</f>
        <v>8939271.9427</v>
      </c>
      <c r="F24" s="20">
        <f>SUM(E24*1.095)+165691+184825</f>
        <v>10139018.7772565</v>
      </c>
      <c r="G24" s="21">
        <f>SUM(F24*1.095)+214953+266073</f>
        <v>11583251.561095867</v>
      </c>
    </row>
    <row r="25" spans="1:7" ht="19.5" customHeight="1">
      <c r="A25" s="95" t="s">
        <v>76</v>
      </c>
      <c r="B25" s="95"/>
      <c r="C25" s="95"/>
      <c r="D25" s="96"/>
      <c r="E25" s="19">
        <f>0*1.095</f>
        <v>0</v>
      </c>
      <c r="F25" s="19">
        <f>0*1.095</f>
        <v>0</v>
      </c>
      <c r="G25" s="43">
        <f>0*1.095</f>
        <v>0</v>
      </c>
    </row>
    <row r="26" spans="1:7" ht="19.5" customHeight="1">
      <c r="A26" s="95" t="s">
        <v>102</v>
      </c>
      <c r="B26" s="95"/>
      <c r="C26" s="95"/>
      <c r="D26" s="96"/>
      <c r="E26" s="19"/>
      <c r="F26" s="20"/>
      <c r="G26" s="21"/>
    </row>
    <row r="27" spans="1:7" ht="19.5" customHeight="1">
      <c r="A27" s="95" t="s">
        <v>18</v>
      </c>
      <c r="B27" s="95"/>
      <c r="C27" s="95"/>
      <c r="D27" s="96"/>
      <c r="E27" s="19">
        <f>500000*1.095</f>
        <v>547500</v>
      </c>
      <c r="F27" s="20">
        <f>547500*1.095</f>
        <v>599512.5</v>
      </c>
      <c r="G27" s="21">
        <f>599512.5*1.095</f>
        <v>656466.1875</v>
      </c>
    </row>
    <row r="28" spans="1:7" s="6" customFormat="1" ht="19.5" customHeight="1">
      <c r="A28" s="93" t="s">
        <v>53</v>
      </c>
      <c r="B28" s="93"/>
      <c r="C28" s="93"/>
      <c r="D28" s="94"/>
      <c r="E28" s="17">
        <f>SUM(E23-E24-E25-E26+E27)</f>
        <v>400923650.83895</v>
      </c>
      <c r="F28" s="17">
        <f>SUM(F23-F24-F25-F26+F27)</f>
        <v>438660881.66865027</v>
      </c>
      <c r="G28" s="18">
        <f>SUM(G23-G24-G25-G26+G27)</f>
        <v>479852639.427172</v>
      </c>
    </row>
    <row r="29" spans="1:7" s="6" customFormat="1" ht="19.5" customHeight="1" thickBot="1">
      <c r="A29" s="97" t="s">
        <v>74</v>
      </c>
      <c r="B29" s="97"/>
      <c r="C29" s="97"/>
      <c r="D29" s="97"/>
      <c r="E29" s="52">
        <f>SUM(E22-E28)</f>
        <v>-33542415.585950017</v>
      </c>
      <c r="F29" s="52">
        <f>SUM(F22-F28)</f>
        <v>-36378429.06661528</v>
      </c>
      <c r="G29" s="53">
        <f>SUM(G22-G28)</f>
        <v>-39353353.82794368</v>
      </c>
    </row>
    <row r="30" ht="13.5" thickTop="1"/>
    <row r="33" ht="15">
      <c r="B33" s="4"/>
    </row>
  </sheetData>
  <sheetProtection/>
  <mergeCells count="21">
    <mergeCell ref="A7:G8"/>
    <mergeCell ref="A12:G12"/>
    <mergeCell ref="E13:E16"/>
    <mergeCell ref="F13:F16"/>
    <mergeCell ref="G13:G16"/>
    <mergeCell ref="A13:D16"/>
    <mergeCell ref="A10:G10"/>
    <mergeCell ref="A9:G9"/>
    <mergeCell ref="A17:D17"/>
    <mergeCell ref="A18:D18"/>
    <mergeCell ref="A19:D19"/>
    <mergeCell ref="A20:D20"/>
    <mergeCell ref="A21:D21"/>
    <mergeCell ref="A22:D22"/>
    <mergeCell ref="A23:D23"/>
    <mergeCell ref="A24:D24"/>
    <mergeCell ref="A29:D29"/>
    <mergeCell ref="A25:D25"/>
    <mergeCell ref="A26:D26"/>
    <mergeCell ref="A27:D27"/>
    <mergeCell ref="A28:D28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scale="95" r:id="rId3"/>
  <ignoredErrors>
    <ignoredError sqref="F22:G22" formula="1"/>
  </ignoredErrors>
  <legacyDrawing r:id="rId2"/>
  <oleObjects>
    <oleObject progId="Word.Document.8" shapeId="1336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4" width="12.7109375" style="0" customWidth="1"/>
    <col min="5" max="7" width="13.8515625" style="0" bestFit="1" customWidth="1"/>
    <col min="9" max="9" width="16.8515625" style="0" customWidth="1"/>
  </cols>
  <sheetData>
    <row r="1" ht="15.75">
      <c r="A1" s="58"/>
    </row>
    <row r="2" ht="15.75">
      <c r="A2" s="59"/>
    </row>
    <row r="3" ht="12.75">
      <c r="A3" s="60"/>
    </row>
    <row r="6" ht="12.75">
      <c r="G6" s="63" t="s">
        <v>108</v>
      </c>
    </row>
    <row r="8" ht="13.5" thickBot="1"/>
    <row r="9" spans="1:7" ht="3.75" customHeight="1" thickTop="1">
      <c r="A9" s="74" t="s">
        <v>19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91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97</v>
      </c>
      <c r="B12" s="73"/>
      <c r="C12" s="73"/>
      <c r="D12" s="73"/>
      <c r="E12" s="73"/>
      <c r="F12" s="73"/>
      <c r="G12" s="73"/>
    </row>
    <row r="13" spans="1:7" ht="18.75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83</v>
      </c>
      <c r="B14" s="76"/>
      <c r="C14" s="76"/>
      <c r="D14" s="76"/>
      <c r="E14" s="76"/>
      <c r="F14" s="76"/>
      <c r="G14" s="76"/>
    </row>
    <row r="15" spans="1:7" ht="13.5" thickTop="1">
      <c r="A15" s="86" t="s">
        <v>8</v>
      </c>
      <c r="B15" s="86"/>
      <c r="C15" s="86"/>
      <c r="D15" s="102"/>
      <c r="E15" s="85">
        <v>2009</v>
      </c>
      <c r="F15" s="98">
        <v>2010</v>
      </c>
      <c r="G15" s="86">
        <v>2011</v>
      </c>
    </row>
    <row r="16" spans="1:7" ht="12.75">
      <c r="A16" s="101"/>
      <c r="B16" s="101"/>
      <c r="C16" s="101"/>
      <c r="D16" s="84"/>
      <c r="E16" s="88"/>
      <c r="F16" s="99"/>
      <c r="G16" s="101"/>
    </row>
    <row r="17" spans="1:7" ht="12.75">
      <c r="A17" s="101"/>
      <c r="B17" s="101"/>
      <c r="C17" s="101"/>
      <c r="D17" s="84"/>
      <c r="E17" s="88"/>
      <c r="F17" s="99"/>
      <c r="G17" s="101"/>
    </row>
    <row r="18" spans="1:7" ht="12.75">
      <c r="A18" s="87"/>
      <c r="B18" s="87"/>
      <c r="C18" s="87"/>
      <c r="D18" s="83"/>
      <c r="E18" s="82"/>
      <c r="F18" s="100"/>
      <c r="G18" s="87"/>
    </row>
    <row r="19" spans="1:7" s="6" customFormat="1" ht="19.5" customHeight="1">
      <c r="A19" s="93" t="s">
        <v>20</v>
      </c>
      <c r="B19" s="93"/>
      <c r="C19" s="93"/>
      <c r="D19" s="94"/>
      <c r="E19" s="23">
        <f>68127248.5*1.095+9260806.91+1035150</f>
        <v>84895294.0175</v>
      </c>
      <c r="F19" s="9">
        <f>SUM(E19*1.095)+4489685.67+1035150</f>
        <v>98485182.6191625</v>
      </c>
      <c r="G19" s="24">
        <f>SUM(F19*1.095)+4102603.75+517575</f>
        <v>112461453.71798293</v>
      </c>
    </row>
    <row r="20" spans="1:7" ht="19.5" customHeight="1">
      <c r="A20" s="93" t="s">
        <v>21</v>
      </c>
      <c r="B20" s="95"/>
      <c r="C20" s="95"/>
      <c r="D20" s="96"/>
      <c r="E20" s="8">
        <f>93223013.82*1.095-E21+9260806.91+1035150</f>
        <v>106443876.90484998</v>
      </c>
      <c r="F20" s="11">
        <f>SUM(E20*1.095)-F21+4489685.67+1035150</f>
        <v>115586129.12964597</v>
      </c>
      <c r="G20" s="12">
        <f>SUM(F20*1.095)-G21+4102603.75+517575</f>
        <v>124075236.97943695</v>
      </c>
    </row>
    <row r="21" spans="1:7" ht="19.5" customHeight="1">
      <c r="A21" s="95" t="s">
        <v>22</v>
      </c>
      <c r="B21" s="95"/>
      <c r="C21" s="95"/>
      <c r="D21" s="96"/>
      <c r="E21" s="8">
        <f>5416694.19*1.095</f>
        <v>5931280.13805</v>
      </c>
      <c r="F21" s="11">
        <f aca="true" t="shared" si="0" ref="F21:G26">SUM(E21*1.095)</f>
        <v>6494751.75116475</v>
      </c>
      <c r="G21" s="12">
        <f t="shared" si="0"/>
        <v>7111753.167525401</v>
      </c>
    </row>
    <row r="22" spans="1:7" ht="19.5" customHeight="1">
      <c r="A22" s="95" t="s">
        <v>23</v>
      </c>
      <c r="B22" s="95"/>
      <c r="C22" s="95"/>
      <c r="D22" s="96"/>
      <c r="E22" s="8">
        <f>0*1.095</f>
        <v>0</v>
      </c>
      <c r="F22" s="11">
        <f t="shared" si="0"/>
        <v>0</v>
      </c>
      <c r="G22" s="12">
        <f t="shared" si="0"/>
        <v>0</v>
      </c>
    </row>
    <row r="23" spans="1:7" s="6" customFormat="1" ht="19.5" customHeight="1">
      <c r="A23" s="93" t="s">
        <v>24</v>
      </c>
      <c r="B23" s="93"/>
      <c r="C23" s="93"/>
      <c r="D23" s="94"/>
      <c r="E23" s="23">
        <f>SUM(E19-E20-E21-E22)</f>
        <v>-27479863.02539998</v>
      </c>
      <c r="F23" s="9">
        <f t="shared" si="0"/>
        <v>-30090450.012812976</v>
      </c>
      <c r="G23" s="24">
        <f t="shared" si="0"/>
        <v>-32949042.764030207</v>
      </c>
    </row>
    <row r="24" spans="1:7" ht="19.5" customHeight="1">
      <c r="A24" s="95" t="s">
        <v>25</v>
      </c>
      <c r="B24" s="95"/>
      <c r="C24" s="95"/>
      <c r="D24" s="96"/>
      <c r="E24" s="8">
        <f>0*1.095</f>
        <v>0</v>
      </c>
      <c r="F24" s="11">
        <f t="shared" si="0"/>
        <v>0</v>
      </c>
      <c r="G24" s="12">
        <f t="shared" si="0"/>
        <v>0</v>
      </c>
    </row>
    <row r="25" spans="1:7" ht="19.5" customHeight="1">
      <c r="A25" s="95" t="s">
        <v>26</v>
      </c>
      <c r="B25" s="95"/>
      <c r="C25" s="95"/>
      <c r="D25" s="96"/>
      <c r="E25" s="8">
        <f>0*1.095</f>
        <v>0</v>
      </c>
      <c r="F25" s="11">
        <f t="shared" si="0"/>
        <v>0</v>
      </c>
      <c r="G25" s="12">
        <f t="shared" si="0"/>
        <v>0</v>
      </c>
    </row>
    <row r="26" spans="1:7" s="6" customFormat="1" ht="19.5" customHeight="1">
      <c r="A26" s="93" t="s">
        <v>27</v>
      </c>
      <c r="B26" s="93"/>
      <c r="C26" s="93"/>
      <c r="D26" s="94"/>
      <c r="E26" s="9">
        <f>SUM(E23+E24-E25)</f>
        <v>-27479863.02539998</v>
      </c>
      <c r="F26" s="9">
        <f t="shared" si="0"/>
        <v>-30090450.012812976</v>
      </c>
      <c r="G26" s="24">
        <f>SUM(F26*1.095)</f>
        <v>-32949042.764030207</v>
      </c>
    </row>
    <row r="27" spans="1:7" s="6" customFormat="1" ht="19.5" customHeight="1">
      <c r="A27" s="93" t="s">
        <v>77</v>
      </c>
      <c r="B27" s="93"/>
      <c r="C27" s="93"/>
      <c r="D27" s="94"/>
      <c r="E27" s="57"/>
      <c r="F27" s="9">
        <f>F26-E26</f>
        <v>-2610586.9874129966</v>
      </c>
      <c r="G27" s="9">
        <f>G26-F26</f>
        <v>-2858592.751217231</v>
      </c>
    </row>
    <row r="28" spans="1:7" ht="3.75" customHeight="1" thickBot="1">
      <c r="A28" s="97"/>
      <c r="B28" s="97"/>
      <c r="C28" s="97"/>
      <c r="D28" s="97"/>
      <c r="E28" s="2"/>
      <c r="F28" s="2"/>
      <c r="G28" s="50">
        <f>SUM(F28*1.095)</f>
        <v>0</v>
      </c>
    </row>
    <row r="29" ht="13.5" thickTop="1">
      <c r="G29" s="51"/>
    </row>
    <row r="32" ht="15">
      <c r="B32" s="4"/>
    </row>
  </sheetData>
  <sheetProtection/>
  <mergeCells count="18">
    <mergeCell ref="A23:D23"/>
    <mergeCell ref="A24:D24"/>
    <mergeCell ref="A27:D27"/>
    <mergeCell ref="A28:D28"/>
    <mergeCell ref="A25:D25"/>
    <mergeCell ref="A26:D26"/>
    <mergeCell ref="A9:G10"/>
    <mergeCell ref="A14:G14"/>
    <mergeCell ref="E15:E18"/>
    <mergeCell ref="F15:F18"/>
    <mergeCell ref="G15:G18"/>
    <mergeCell ref="A15:D18"/>
    <mergeCell ref="A12:G12"/>
    <mergeCell ref="A11:G11"/>
    <mergeCell ref="A19:D19"/>
    <mergeCell ref="A20:D20"/>
    <mergeCell ref="A21:D21"/>
    <mergeCell ref="A22:D22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ignoredErrors>
    <ignoredError sqref="E23" formula="1"/>
  </ignoredErrors>
  <legacyDrawing r:id="rId2"/>
  <oleObjects>
    <oleObject progId="Word.Document.8" shapeId="1340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8.00390625" style="0" customWidth="1"/>
    <col min="4" max="4" width="17.8515625" style="0" customWidth="1"/>
    <col min="5" max="7" width="12.7109375" style="0" customWidth="1"/>
  </cols>
  <sheetData>
    <row r="1" ht="15.75">
      <c r="A1" s="58"/>
    </row>
    <row r="2" ht="15.75">
      <c r="A2" s="59"/>
    </row>
    <row r="3" ht="12.75">
      <c r="A3" s="60"/>
    </row>
    <row r="6" ht="12.75">
      <c r="G6" s="63" t="s">
        <v>109</v>
      </c>
    </row>
    <row r="8" ht="13.5" thickBot="1"/>
    <row r="9" spans="1:7" ht="4.5" customHeight="1" thickTop="1">
      <c r="A9" s="74" t="s">
        <v>28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92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98</v>
      </c>
      <c r="B12" s="73"/>
      <c r="C12" s="73"/>
      <c r="D12" s="73"/>
      <c r="E12" s="73"/>
      <c r="F12" s="73"/>
      <c r="G12" s="73"/>
    </row>
    <row r="13" spans="1:7" ht="18.75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83</v>
      </c>
      <c r="B14" s="76"/>
      <c r="C14" s="76"/>
      <c r="D14" s="76"/>
      <c r="E14" s="76"/>
      <c r="F14" s="76"/>
      <c r="G14" s="76"/>
    </row>
    <row r="15" spans="1:7" ht="13.5" thickTop="1">
      <c r="A15" s="86" t="s">
        <v>8</v>
      </c>
      <c r="B15" s="86"/>
      <c r="C15" s="86"/>
      <c r="D15" s="102"/>
      <c r="E15" s="85">
        <v>2009</v>
      </c>
      <c r="F15" s="98">
        <v>2010</v>
      </c>
      <c r="G15" s="86">
        <v>2011</v>
      </c>
    </row>
    <row r="16" spans="1:7" ht="12.75">
      <c r="A16" s="101"/>
      <c r="B16" s="101"/>
      <c r="C16" s="101"/>
      <c r="D16" s="84"/>
      <c r="E16" s="88"/>
      <c r="F16" s="99"/>
      <c r="G16" s="101"/>
    </row>
    <row r="17" spans="1:7" ht="12.75">
      <c r="A17" s="101"/>
      <c r="B17" s="101"/>
      <c r="C17" s="101"/>
      <c r="D17" s="84"/>
      <c r="E17" s="88"/>
      <c r="F17" s="99"/>
      <c r="G17" s="101"/>
    </row>
    <row r="18" spans="1:7" ht="12.75">
      <c r="A18" s="87"/>
      <c r="B18" s="87"/>
      <c r="C18" s="87"/>
      <c r="D18" s="83"/>
      <c r="E18" s="82"/>
      <c r="F18" s="100"/>
      <c r="G18" s="87"/>
    </row>
    <row r="19" spans="1:7" s="6" customFormat="1" ht="19.5" customHeight="1">
      <c r="A19" s="93" t="s">
        <v>80</v>
      </c>
      <c r="B19" s="93"/>
      <c r="C19" s="93"/>
      <c r="D19" s="94"/>
      <c r="E19" s="10">
        <f>976962.86+1330728.82</f>
        <v>2307691.68</v>
      </c>
      <c r="F19" s="11">
        <f>1057454.66+1250237.02</f>
        <v>2307691.6799999997</v>
      </c>
      <c r="G19" s="12">
        <f>1144596.15+1163095.54</f>
        <v>2307691.69</v>
      </c>
    </row>
    <row r="20" spans="1:7" ht="19.5" customHeight="1">
      <c r="A20" s="93" t="s">
        <v>81</v>
      </c>
      <c r="B20" s="93"/>
      <c r="C20" s="93"/>
      <c r="D20" s="94"/>
      <c r="E20" s="11">
        <f>272795.42+450261.12</f>
        <v>723056.54</v>
      </c>
      <c r="F20" s="11">
        <f>298385.51+424671.03</f>
        <v>723056.54</v>
      </c>
      <c r="G20" s="12">
        <f>326376.13+396680.41</f>
        <v>723056.54</v>
      </c>
    </row>
    <row r="21" spans="1:7" ht="19.5" customHeight="1">
      <c r="A21" s="93" t="s">
        <v>58</v>
      </c>
      <c r="B21" s="93"/>
      <c r="C21" s="93"/>
      <c r="D21" s="94"/>
      <c r="E21" s="11">
        <f>513622.56+1251213.48+408048.36</f>
        <v>2172884.4</v>
      </c>
      <c r="F21" s="11">
        <f>513622.56+1251213.48+408048.36</f>
        <v>2172884.4</v>
      </c>
      <c r="G21" s="12">
        <f>513622.56+1251213.48+408048.36</f>
        <v>2172884.4</v>
      </c>
    </row>
    <row r="22" spans="1:7" ht="19.5" customHeight="1">
      <c r="A22" s="93" t="s">
        <v>59</v>
      </c>
      <c r="B22" s="93"/>
      <c r="C22" s="93"/>
      <c r="D22" s="94"/>
      <c r="E22" s="11">
        <v>3206319.19</v>
      </c>
      <c r="F22" s="11">
        <v>3206319.19</v>
      </c>
      <c r="G22" s="12">
        <v>3206319.19</v>
      </c>
    </row>
    <row r="23" spans="1:7" s="6" customFormat="1" ht="19.5" customHeight="1">
      <c r="A23" s="93" t="s">
        <v>60</v>
      </c>
      <c r="B23" s="93"/>
      <c r="C23" s="93"/>
      <c r="D23" s="94"/>
      <c r="E23" s="10">
        <v>0</v>
      </c>
      <c r="F23" s="11">
        <v>0</v>
      </c>
      <c r="G23" s="12">
        <v>0</v>
      </c>
    </row>
    <row r="24" spans="1:7" ht="19.5" customHeight="1">
      <c r="A24" s="93" t="s">
        <v>78</v>
      </c>
      <c r="B24" s="93"/>
      <c r="C24" s="93"/>
      <c r="D24" s="94"/>
      <c r="E24" s="11">
        <f>456435.12+430089.4+657584.8+895502.79</f>
        <v>2439612.1100000003</v>
      </c>
      <c r="F24" s="11">
        <f>456435.12+430089.4+607001.4+826617.94</f>
        <v>2320143.86</v>
      </c>
      <c r="G24" s="12">
        <f>456435.12+430089.4+607001.4+826617.94</f>
        <v>2320143.86</v>
      </c>
    </row>
    <row r="25" spans="1:7" ht="19.5" customHeight="1">
      <c r="A25" s="93" t="s">
        <v>79</v>
      </c>
      <c r="B25" s="93"/>
      <c r="C25" s="93"/>
      <c r="D25" s="94"/>
      <c r="E25" s="11">
        <v>228413.32</v>
      </c>
      <c r="F25" s="11">
        <v>228413.32</v>
      </c>
      <c r="G25" s="12">
        <v>228413.32</v>
      </c>
    </row>
    <row r="26" spans="1:7" ht="19.5" customHeight="1">
      <c r="A26" s="54" t="s">
        <v>103</v>
      </c>
      <c r="B26" s="54"/>
      <c r="C26" s="54"/>
      <c r="D26" s="55"/>
      <c r="E26" s="11">
        <f>7408645.41-95598-140311</f>
        <v>7172736.41</v>
      </c>
      <c r="F26" s="11">
        <f>3591750.17-165691-184825</f>
        <v>3241234.17</v>
      </c>
      <c r="G26" s="12">
        <f>3282083-214953-266073</f>
        <v>2801057</v>
      </c>
    </row>
    <row r="27" spans="1:7" ht="19.5" customHeight="1">
      <c r="A27" s="54" t="s">
        <v>104</v>
      </c>
      <c r="B27" s="54"/>
      <c r="C27" s="54"/>
      <c r="D27" s="55"/>
      <c r="E27" s="11">
        <f>2578875</f>
        <v>2578875</v>
      </c>
      <c r="F27" s="11">
        <f>1543725</f>
        <v>1543725</v>
      </c>
      <c r="G27" s="12">
        <f>517575</f>
        <v>517575</v>
      </c>
    </row>
    <row r="28" spans="1:7" ht="19.5" customHeight="1">
      <c r="A28" s="93" t="s">
        <v>100</v>
      </c>
      <c r="B28" s="93"/>
      <c r="C28" s="93"/>
      <c r="D28" s="94"/>
      <c r="E28" s="11">
        <v>0</v>
      </c>
      <c r="F28" s="11">
        <v>0</v>
      </c>
      <c r="G28" s="12">
        <v>0</v>
      </c>
    </row>
    <row r="29" spans="1:7" ht="19.5" customHeight="1">
      <c r="A29" s="103" t="s">
        <v>29</v>
      </c>
      <c r="B29" s="103"/>
      <c r="C29" s="103"/>
      <c r="D29" s="104"/>
      <c r="E29" s="9">
        <f>SUM(E19:E28)</f>
        <v>20829588.650000002</v>
      </c>
      <c r="F29" s="9">
        <f>SUM(F19:F28)</f>
        <v>15743468.159999998</v>
      </c>
      <c r="G29" s="24">
        <f>SUM(G19:G28)</f>
        <v>14277141</v>
      </c>
    </row>
    <row r="30" spans="1:7" ht="3.75" customHeight="1" thickBot="1">
      <c r="A30" s="97"/>
      <c r="B30" s="97"/>
      <c r="C30" s="97"/>
      <c r="D30" s="97"/>
      <c r="E30" s="2"/>
      <c r="F30" s="2"/>
      <c r="G30" s="2"/>
    </row>
    <row r="31" ht="13.5" thickTop="1"/>
    <row r="33" spans="5:7" ht="12.75">
      <c r="E33" s="56"/>
      <c r="F33" s="56"/>
      <c r="G33" s="56"/>
    </row>
    <row r="34" ht="15">
      <c r="B34" s="4"/>
    </row>
  </sheetData>
  <sheetProtection/>
  <mergeCells count="18">
    <mergeCell ref="A30:D30"/>
    <mergeCell ref="A9:G10"/>
    <mergeCell ref="A14:G14"/>
    <mergeCell ref="E15:E18"/>
    <mergeCell ref="F15:F18"/>
    <mergeCell ref="G15:G18"/>
    <mergeCell ref="A12:G12"/>
    <mergeCell ref="A15:D18"/>
    <mergeCell ref="A19:D19"/>
    <mergeCell ref="A20:D20"/>
    <mergeCell ref="A11:G11"/>
    <mergeCell ref="A25:D25"/>
    <mergeCell ref="A28:D28"/>
    <mergeCell ref="A29:D29"/>
    <mergeCell ref="A21:D21"/>
    <mergeCell ref="A22:D22"/>
    <mergeCell ref="A23:D23"/>
    <mergeCell ref="A24:D24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legacyDrawing r:id="rId2"/>
  <oleObjects>
    <oleObject progId="Word.Document.8" shapeId="13442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4" width="14.421875" style="0" bestFit="1" customWidth="1"/>
    <col min="5" max="5" width="7.57421875" style="0" bestFit="1" customWidth="1"/>
    <col min="6" max="6" width="14.421875" style="0" bestFit="1" customWidth="1"/>
    <col min="7" max="7" width="12.7109375" style="0" customWidth="1"/>
  </cols>
  <sheetData>
    <row r="1" ht="15.75">
      <c r="A1" s="58"/>
    </row>
    <row r="2" ht="15.75">
      <c r="A2" s="59"/>
    </row>
    <row r="3" ht="12.75">
      <c r="A3" s="60"/>
    </row>
    <row r="5" ht="12.75">
      <c r="G5" s="63" t="s">
        <v>110</v>
      </c>
    </row>
    <row r="7" ht="13.5" thickBot="1"/>
    <row r="8" spans="1:7" ht="3.75" customHeight="1" thickTop="1">
      <c r="A8" s="74" t="s">
        <v>30</v>
      </c>
      <c r="B8" s="74"/>
      <c r="C8" s="74"/>
      <c r="D8" s="74"/>
      <c r="E8" s="74"/>
      <c r="F8" s="74"/>
      <c r="G8" s="74"/>
    </row>
    <row r="9" spans="1:7" ht="27" customHeight="1">
      <c r="A9" s="75"/>
      <c r="B9" s="75"/>
      <c r="C9" s="75"/>
      <c r="D9" s="75"/>
      <c r="E9" s="75"/>
      <c r="F9" s="75"/>
      <c r="G9" s="75"/>
    </row>
    <row r="10" spans="1:7" ht="27" customHeight="1">
      <c r="A10" s="75" t="s">
        <v>93</v>
      </c>
      <c r="B10" s="75"/>
      <c r="C10" s="75"/>
      <c r="D10" s="75"/>
      <c r="E10" s="75"/>
      <c r="F10" s="75"/>
      <c r="G10" s="75"/>
    </row>
    <row r="11" spans="1:7" ht="27" customHeight="1">
      <c r="A11" s="73" t="s">
        <v>99</v>
      </c>
      <c r="B11" s="73"/>
      <c r="C11" s="73"/>
      <c r="D11" s="73"/>
      <c r="E11" s="73"/>
      <c r="F11" s="73"/>
      <c r="G11" s="73"/>
    </row>
    <row r="12" spans="1:7" ht="27" customHeight="1" thickBot="1">
      <c r="A12" s="28"/>
      <c r="B12" s="28"/>
      <c r="C12" s="28"/>
      <c r="D12" s="28"/>
      <c r="E12" s="28"/>
      <c r="F12" s="28"/>
      <c r="G12" s="29">
        <v>1000</v>
      </c>
    </row>
    <row r="13" spans="1:7" ht="14.25" thickBot="1" thickTop="1">
      <c r="A13" s="76" t="s">
        <v>85</v>
      </c>
      <c r="B13" s="76"/>
      <c r="C13" s="76"/>
      <c r="D13" s="76"/>
      <c r="E13" s="76"/>
      <c r="F13" s="76"/>
      <c r="G13" s="76"/>
    </row>
    <row r="14" spans="1:7" ht="13.5" thickTop="1">
      <c r="A14" s="86" t="s">
        <v>31</v>
      </c>
      <c r="B14" s="86"/>
      <c r="C14" s="85">
        <v>2006</v>
      </c>
      <c r="D14" s="85">
        <v>2007</v>
      </c>
      <c r="E14" s="85" t="s">
        <v>11</v>
      </c>
      <c r="F14" s="98">
        <v>2008</v>
      </c>
      <c r="G14" s="86" t="s">
        <v>11</v>
      </c>
    </row>
    <row r="15" spans="1:7" ht="12.75">
      <c r="A15" s="101"/>
      <c r="B15" s="101"/>
      <c r="C15" s="88"/>
      <c r="D15" s="88"/>
      <c r="E15" s="88"/>
      <c r="F15" s="99"/>
      <c r="G15" s="101"/>
    </row>
    <row r="16" spans="1:7" ht="12.75">
      <c r="A16" s="101"/>
      <c r="B16" s="101"/>
      <c r="C16" s="88"/>
      <c r="D16" s="88"/>
      <c r="E16" s="88"/>
      <c r="F16" s="99"/>
      <c r="G16" s="101"/>
    </row>
    <row r="17" spans="1:7" ht="12.75">
      <c r="A17" s="87"/>
      <c r="B17" s="87"/>
      <c r="C17" s="82"/>
      <c r="D17" s="82"/>
      <c r="E17" s="82"/>
      <c r="F17" s="100"/>
      <c r="G17" s="87"/>
    </row>
    <row r="18" spans="1:7" s="6" customFormat="1" ht="19.5" customHeight="1">
      <c r="A18" s="107" t="s">
        <v>61</v>
      </c>
      <c r="B18" s="107"/>
      <c r="C18" s="11">
        <f>158882169.53-73064711.51</f>
        <v>85817458.02</v>
      </c>
      <c r="D18" s="11">
        <f>175422922.05-70568684.6</f>
        <v>104854237.45000002</v>
      </c>
      <c r="E18" s="36">
        <f>SUM(D18/C18%)-(100)</f>
        <v>22.182874987468693</v>
      </c>
      <c r="F18" s="9">
        <f>SUM(D18*1.095)</f>
        <v>114815390.00775002</v>
      </c>
      <c r="G18" s="38">
        <f>SUM(F18/D18%)-(100)</f>
        <v>9.5</v>
      </c>
    </row>
    <row r="19" spans="1:7" ht="30" customHeight="1">
      <c r="A19" s="105" t="s">
        <v>62</v>
      </c>
      <c r="B19" s="106"/>
      <c r="C19" s="11">
        <f>52681175.41-262214023.04</f>
        <v>-209532847.63</v>
      </c>
      <c r="D19" s="11">
        <f>63176650.56-231709821.74</f>
        <v>-168533171.18</v>
      </c>
      <c r="E19" s="36">
        <f aca="true" t="shared" si="0" ref="E19:E27">SUM(D19/C19%)-(100)</f>
        <v>-19.567183338432244</v>
      </c>
      <c r="F19" s="9">
        <f aca="true" t="shared" si="1" ref="F19:F26">SUM(D19*1.095)</f>
        <v>-184543822.4421</v>
      </c>
      <c r="G19" s="38">
        <f aca="true" t="shared" si="2" ref="G19:G27">SUM(F19/D19%)-(100)</f>
        <v>9.499999999999986</v>
      </c>
    </row>
    <row r="20" spans="1:7" ht="19.5" customHeight="1">
      <c r="A20" s="107" t="s">
        <v>63</v>
      </c>
      <c r="B20" s="107"/>
      <c r="C20" s="11">
        <v>0</v>
      </c>
      <c r="D20" s="11">
        <v>0</v>
      </c>
      <c r="E20" s="36">
        <v>0</v>
      </c>
      <c r="F20" s="9">
        <f t="shared" si="1"/>
        <v>0</v>
      </c>
      <c r="G20" s="38">
        <v>0</v>
      </c>
    </row>
    <row r="21" spans="1:7" ht="19.5" customHeight="1">
      <c r="A21" s="107" t="s">
        <v>64</v>
      </c>
      <c r="B21" s="107"/>
      <c r="C21" s="11">
        <f>181712.45-900</f>
        <v>180812.45</v>
      </c>
      <c r="D21" s="11">
        <f>304989.38-8109.6</f>
        <v>296879.78</v>
      </c>
      <c r="E21" s="36">
        <f t="shared" si="0"/>
        <v>64.19211177106445</v>
      </c>
      <c r="F21" s="9">
        <f t="shared" si="1"/>
        <v>325083.3591</v>
      </c>
      <c r="G21" s="38">
        <f t="shared" si="2"/>
        <v>9.499999999999986</v>
      </c>
    </row>
    <row r="22" spans="1:7" s="6" customFormat="1" ht="27.75" customHeight="1">
      <c r="A22" s="105" t="s">
        <v>65</v>
      </c>
      <c r="B22" s="106"/>
      <c r="C22" s="11">
        <f>527459.94-21638.46</f>
        <v>505821.4799999999</v>
      </c>
      <c r="D22" s="11">
        <f>692723.27-75211.8</f>
        <v>617511.47</v>
      </c>
      <c r="E22" s="36">
        <f t="shared" si="0"/>
        <v>22.080910838345602</v>
      </c>
      <c r="F22" s="9">
        <f t="shared" si="1"/>
        <v>676175.05965</v>
      </c>
      <c r="G22" s="38">
        <f t="shared" si="2"/>
        <v>9.499999999999986</v>
      </c>
    </row>
    <row r="23" spans="1:7" ht="19.5" customHeight="1">
      <c r="A23" s="107" t="s">
        <v>66</v>
      </c>
      <c r="B23" s="107"/>
      <c r="C23" s="11">
        <v>0</v>
      </c>
      <c r="D23" s="11">
        <v>0</v>
      </c>
      <c r="E23" s="36">
        <v>0</v>
      </c>
      <c r="F23" s="9">
        <f t="shared" si="1"/>
        <v>0</v>
      </c>
      <c r="G23" s="38">
        <v>0</v>
      </c>
    </row>
    <row r="24" spans="1:7" ht="19.5" customHeight="1">
      <c r="A24" s="108" t="s">
        <v>67</v>
      </c>
      <c r="B24" s="108"/>
      <c r="C24" s="11">
        <f>4309758.41-197347.92</f>
        <v>4112410.49</v>
      </c>
      <c r="D24" s="11">
        <f>4609600.78-279434.43</f>
        <v>4330166.350000001</v>
      </c>
      <c r="E24" s="36">
        <f t="shared" si="0"/>
        <v>5.295090568646032</v>
      </c>
      <c r="F24" s="9">
        <f t="shared" si="1"/>
        <v>4741532.15325</v>
      </c>
      <c r="G24" s="38">
        <f t="shared" si="2"/>
        <v>9.5</v>
      </c>
    </row>
    <row r="25" spans="1:7" ht="19.5" customHeight="1">
      <c r="A25" s="108" t="s">
        <v>68</v>
      </c>
      <c r="B25" s="109"/>
      <c r="C25" s="13">
        <v>0</v>
      </c>
      <c r="D25" s="11">
        <v>0</v>
      </c>
      <c r="E25" s="36">
        <v>0</v>
      </c>
      <c r="F25" s="9">
        <f t="shared" si="1"/>
        <v>0</v>
      </c>
      <c r="G25" s="38">
        <v>0</v>
      </c>
    </row>
    <row r="26" spans="1:7" ht="27" customHeight="1">
      <c r="A26" s="110" t="s">
        <v>69</v>
      </c>
      <c r="B26" s="111"/>
      <c r="C26" s="11">
        <f>41477564.03-9304381.22</f>
        <v>32173182.810000002</v>
      </c>
      <c r="D26" s="11">
        <f>66577323.63-20599123.6-8261789.45</f>
        <v>37716410.58</v>
      </c>
      <c r="E26" s="36">
        <f t="shared" si="0"/>
        <v>17.22934222186143</v>
      </c>
      <c r="F26" s="9">
        <f t="shared" si="1"/>
        <v>41299469.585099995</v>
      </c>
      <c r="G26" s="38">
        <f t="shared" si="2"/>
        <v>9.5</v>
      </c>
    </row>
    <row r="27" spans="1:7" ht="19.5" customHeight="1">
      <c r="A27" s="103" t="s">
        <v>29</v>
      </c>
      <c r="B27" s="103"/>
      <c r="C27" s="14">
        <f>SUM(C18:C26)</f>
        <v>-86743162.38</v>
      </c>
      <c r="D27" s="14">
        <f>SUM(D21:D26)</f>
        <v>42960968.18</v>
      </c>
      <c r="E27" s="36">
        <f t="shared" si="0"/>
        <v>-149.5266335711843</v>
      </c>
      <c r="F27" s="41">
        <f>SUM(F18:F26)</f>
        <v>-22686172.27724997</v>
      </c>
      <c r="G27" s="38">
        <f t="shared" si="2"/>
        <v>-152.80647349984832</v>
      </c>
    </row>
    <row r="28" spans="1:7" ht="3.75" customHeight="1" thickBot="1">
      <c r="A28" s="97"/>
      <c r="B28" s="97"/>
      <c r="C28" s="97"/>
      <c r="D28" s="97"/>
      <c r="E28" s="2"/>
      <c r="F28" s="2"/>
      <c r="G28" s="2"/>
    </row>
    <row r="29" ht="13.5" thickTop="1"/>
    <row r="32" ht="15">
      <c r="B32" s="4"/>
    </row>
  </sheetData>
  <sheetProtection/>
  <mergeCells count="21">
    <mergeCell ref="A11:G11"/>
    <mergeCell ref="A10:G10"/>
    <mergeCell ref="C14:C17"/>
    <mergeCell ref="D14:D17"/>
    <mergeCell ref="A14:B17"/>
    <mergeCell ref="A28:D28"/>
    <mergeCell ref="A23:B23"/>
    <mergeCell ref="A24:B24"/>
    <mergeCell ref="A26:B26"/>
    <mergeCell ref="A27:B27"/>
    <mergeCell ref="A8:G9"/>
    <mergeCell ref="A13:G13"/>
    <mergeCell ref="E14:E17"/>
    <mergeCell ref="F14:F17"/>
    <mergeCell ref="G14:G17"/>
    <mergeCell ref="A22:B22"/>
    <mergeCell ref="A18:B18"/>
    <mergeCell ref="A19:B19"/>
    <mergeCell ref="A20:B20"/>
    <mergeCell ref="A21:B21"/>
    <mergeCell ref="A25:B25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legacyDrawing r:id="rId2"/>
  <oleObjects>
    <oleObject progId="Word.Document.8" shapeId="1348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6" width="12.7109375" style="0" customWidth="1"/>
    <col min="7" max="7" width="19.140625" style="0" customWidth="1"/>
  </cols>
  <sheetData>
    <row r="1" ht="15.75">
      <c r="A1" s="58"/>
    </row>
    <row r="2" ht="15.75">
      <c r="A2" s="59"/>
    </row>
    <row r="3" ht="12.75">
      <c r="A3" s="60"/>
    </row>
    <row r="6" ht="12.75">
      <c r="G6" s="63" t="s">
        <v>111</v>
      </c>
    </row>
    <row r="8" ht="13.5" thickBot="1"/>
    <row r="9" spans="1:7" ht="3.75" customHeight="1" thickTop="1">
      <c r="A9" s="74" t="s">
        <v>32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94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99</v>
      </c>
      <c r="B12" s="73"/>
      <c r="C12" s="73"/>
      <c r="D12" s="73"/>
      <c r="E12" s="73"/>
      <c r="F12" s="73"/>
      <c r="G12" s="73"/>
    </row>
    <row r="13" spans="1:7" ht="27" customHeight="1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85</v>
      </c>
      <c r="B14" s="76"/>
      <c r="C14" s="76"/>
      <c r="D14" s="76"/>
      <c r="E14" s="76"/>
      <c r="F14" s="76"/>
      <c r="G14" s="76"/>
    </row>
    <row r="15" spans="1:7" ht="13.5" thickTop="1">
      <c r="A15" s="86" t="s">
        <v>33</v>
      </c>
      <c r="B15" s="86"/>
      <c r="C15" s="86"/>
      <c r="D15" s="102"/>
      <c r="E15" s="98">
        <v>2006</v>
      </c>
      <c r="F15" s="86">
        <v>2007</v>
      </c>
      <c r="G15" s="85">
        <v>2008</v>
      </c>
    </row>
    <row r="16" spans="1:7" ht="12.75">
      <c r="A16" s="101"/>
      <c r="B16" s="101"/>
      <c r="C16" s="101"/>
      <c r="D16" s="84"/>
      <c r="E16" s="99"/>
      <c r="F16" s="101"/>
      <c r="G16" s="88"/>
    </row>
    <row r="17" spans="1:7" ht="12.75">
      <c r="A17" s="101"/>
      <c r="B17" s="101"/>
      <c r="C17" s="101"/>
      <c r="D17" s="84"/>
      <c r="E17" s="99"/>
      <c r="F17" s="101"/>
      <c r="G17" s="88"/>
    </row>
    <row r="18" spans="1:7" ht="12.75">
      <c r="A18" s="87"/>
      <c r="B18" s="87"/>
      <c r="C18" s="87"/>
      <c r="D18" s="83"/>
      <c r="E18" s="100"/>
      <c r="F18" s="87"/>
      <c r="G18" s="82"/>
    </row>
    <row r="19" spans="1:7" s="6" customFormat="1" ht="19.5" customHeight="1">
      <c r="A19" s="114" t="s">
        <v>34</v>
      </c>
      <c r="B19" s="114"/>
      <c r="C19" s="114"/>
      <c r="D19" s="115"/>
      <c r="E19" s="34">
        <v>110038</v>
      </c>
      <c r="F19" s="35">
        <v>62000</v>
      </c>
      <c r="G19" s="32">
        <v>62000</v>
      </c>
    </row>
    <row r="20" spans="1:7" ht="19.5" customHeight="1">
      <c r="A20" s="116" t="s">
        <v>70</v>
      </c>
      <c r="B20" s="116"/>
      <c r="C20" s="116"/>
      <c r="D20" s="117"/>
      <c r="E20" s="31"/>
      <c r="F20" s="32">
        <v>62000</v>
      </c>
      <c r="G20" s="32">
        <v>62000</v>
      </c>
    </row>
    <row r="21" spans="1:7" ht="19.5" customHeight="1">
      <c r="A21" s="114" t="s">
        <v>55</v>
      </c>
      <c r="B21" s="114"/>
      <c r="C21" s="114"/>
      <c r="D21" s="115"/>
      <c r="E21" s="31"/>
      <c r="F21" s="32"/>
      <c r="G21" s="32"/>
    </row>
    <row r="22" spans="1:7" s="6" customFormat="1" ht="19.5" customHeight="1" thickBot="1">
      <c r="A22" s="103" t="s">
        <v>35</v>
      </c>
      <c r="B22" s="103"/>
      <c r="C22" s="103"/>
      <c r="D22" s="104"/>
      <c r="E22" s="39">
        <f>E20</f>
        <v>0</v>
      </c>
      <c r="F22" s="30">
        <f>F20</f>
        <v>62000</v>
      </c>
      <c r="G22" s="30">
        <f>G20</f>
        <v>62000</v>
      </c>
    </row>
    <row r="23" spans="1:7" ht="13.5" thickTop="1">
      <c r="A23" s="118" t="s">
        <v>56</v>
      </c>
      <c r="B23" s="118"/>
      <c r="C23" s="118"/>
      <c r="D23" s="119"/>
      <c r="E23" s="118">
        <v>2006</v>
      </c>
      <c r="F23" s="127">
        <v>2007</v>
      </c>
      <c r="G23" s="124">
        <v>2008</v>
      </c>
    </row>
    <row r="24" spans="1:7" ht="12.75">
      <c r="A24" s="120"/>
      <c r="B24" s="120"/>
      <c r="C24" s="120"/>
      <c r="D24" s="121"/>
      <c r="E24" s="120"/>
      <c r="F24" s="128"/>
      <c r="G24" s="125"/>
    </row>
    <row r="25" spans="1:7" ht="12.75">
      <c r="A25" s="120"/>
      <c r="B25" s="120"/>
      <c r="C25" s="120"/>
      <c r="D25" s="121"/>
      <c r="E25" s="120"/>
      <c r="F25" s="128"/>
      <c r="G25" s="125"/>
    </row>
    <row r="26" spans="1:7" ht="12.75">
      <c r="A26" s="122"/>
      <c r="B26" s="122"/>
      <c r="C26" s="122"/>
      <c r="D26" s="123"/>
      <c r="E26" s="122"/>
      <c r="F26" s="129"/>
      <c r="G26" s="126"/>
    </row>
    <row r="27" spans="1:7" s="6" customFormat="1" ht="19.5" customHeight="1">
      <c r="A27" s="116" t="s">
        <v>71</v>
      </c>
      <c r="B27" s="116"/>
      <c r="C27" s="116"/>
      <c r="D27" s="117"/>
      <c r="E27" s="14">
        <v>0</v>
      </c>
      <c r="F27" s="32">
        <v>0</v>
      </c>
      <c r="G27" s="32">
        <f>F27*1.095</f>
        <v>0</v>
      </c>
    </row>
    <row r="28" spans="1:7" ht="19.5" customHeight="1">
      <c r="A28" s="114" t="s">
        <v>36</v>
      </c>
      <c r="B28" s="114"/>
      <c r="C28" s="114"/>
      <c r="D28" s="115"/>
      <c r="E28" s="31">
        <v>0</v>
      </c>
      <c r="F28" s="32">
        <v>62000</v>
      </c>
      <c r="G28" s="32">
        <v>62000</v>
      </c>
    </row>
    <row r="29" spans="1:7" ht="19.5" customHeight="1">
      <c r="A29" s="114" t="s">
        <v>55</v>
      </c>
      <c r="B29" s="114"/>
      <c r="C29" s="114"/>
      <c r="D29" s="115"/>
      <c r="E29" s="31"/>
      <c r="F29" s="32"/>
      <c r="G29" s="32"/>
    </row>
    <row r="30" spans="1:7" s="6" customFormat="1" ht="19.5" customHeight="1" thickBot="1">
      <c r="A30" s="112" t="s">
        <v>35</v>
      </c>
      <c r="B30" s="112"/>
      <c r="C30" s="112"/>
      <c r="D30" s="113"/>
      <c r="E30" s="33">
        <f>E27</f>
        <v>0</v>
      </c>
      <c r="F30" s="33">
        <f>F27</f>
        <v>0</v>
      </c>
      <c r="G30" s="33">
        <f>G28</f>
        <v>62000</v>
      </c>
    </row>
    <row r="31" ht="13.5" thickTop="1"/>
    <row r="33" ht="15">
      <c r="B33" s="4"/>
    </row>
    <row r="39" ht="12.75">
      <c r="F39" s="40"/>
    </row>
  </sheetData>
  <sheetProtection/>
  <mergeCells count="20">
    <mergeCell ref="E23:E26"/>
    <mergeCell ref="A22:D22"/>
    <mergeCell ref="G23:G26"/>
    <mergeCell ref="F23:F26"/>
    <mergeCell ref="A11:G11"/>
    <mergeCell ref="A15:D18"/>
    <mergeCell ref="E15:E18"/>
    <mergeCell ref="A19:D19"/>
    <mergeCell ref="A20:D20"/>
    <mergeCell ref="A21:D21"/>
    <mergeCell ref="A30:D30"/>
    <mergeCell ref="A29:D29"/>
    <mergeCell ref="A27:D27"/>
    <mergeCell ref="A23:D26"/>
    <mergeCell ref="A28:D28"/>
    <mergeCell ref="A9:G10"/>
    <mergeCell ref="A14:G14"/>
    <mergeCell ref="F15:F18"/>
    <mergeCell ref="G15:G18"/>
    <mergeCell ref="A12:G12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legacyDrawing r:id="rId2"/>
  <oleObjects>
    <oleObject progId="Word.Document.8" shapeId="13522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6:G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14.421875" style="0" customWidth="1"/>
    <col min="4" max="4" width="13.7109375" style="0" customWidth="1"/>
    <col min="5" max="5" width="10.7109375" style="0" customWidth="1"/>
    <col min="6" max="6" width="14.00390625" style="0" bestFit="1" customWidth="1"/>
    <col min="7" max="7" width="10.7109375" style="0" customWidth="1"/>
  </cols>
  <sheetData>
    <row r="6" ht="12.75">
      <c r="G6" s="63" t="s">
        <v>112</v>
      </c>
    </row>
    <row r="8" ht="13.5" thickBot="1"/>
    <row r="9" spans="1:7" ht="3" customHeight="1" thickTop="1">
      <c r="A9" s="74" t="s">
        <v>37</v>
      </c>
      <c r="B9" s="74"/>
      <c r="C9" s="74"/>
      <c r="D9" s="74"/>
      <c r="E9" s="74"/>
      <c r="F9" s="74"/>
      <c r="G9" s="74"/>
    </row>
    <row r="10" spans="1:7" ht="27" customHeight="1">
      <c r="A10" s="75"/>
      <c r="B10" s="75"/>
      <c r="C10" s="75"/>
      <c r="D10" s="75"/>
      <c r="E10" s="75"/>
      <c r="F10" s="75"/>
      <c r="G10" s="75"/>
    </row>
    <row r="11" spans="1:7" ht="27" customHeight="1">
      <c r="A11" s="75" t="s">
        <v>95</v>
      </c>
      <c r="B11" s="75"/>
      <c r="C11" s="75"/>
      <c r="D11" s="75"/>
      <c r="E11" s="75"/>
      <c r="F11" s="75"/>
      <c r="G11" s="75"/>
    </row>
    <row r="12" spans="1:7" ht="27" customHeight="1">
      <c r="A12" s="73" t="s">
        <v>97</v>
      </c>
      <c r="B12" s="73"/>
      <c r="C12" s="73"/>
      <c r="D12" s="73"/>
      <c r="E12" s="73"/>
      <c r="F12" s="73"/>
      <c r="G12" s="73"/>
    </row>
    <row r="13" spans="1:7" ht="27" customHeight="1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86</v>
      </c>
      <c r="B14" s="76"/>
      <c r="C14" s="76"/>
      <c r="D14" s="76"/>
      <c r="E14" s="76"/>
      <c r="F14" s="76"/>
      <c r="G14" s="76"/>
    </row>
    <row r="15" spans="1:7" ht="13.5" thickTop="1">
      <c r="A15" s="86" t="s">
        <v>38</v>
      </c>
      <c r="B15" s="86"/>
      <c r="C15" s="85">
        <v>2007</v>
      </c>
      <c r="D15" s="85">
        <v>2008</v>
      </c>
      <c r="E15" s="85" t="s">
        <v>11</v>
      </c>
      <c r="F15" s="98">
        <v>2009</v>
      </c>
      <c r="G15" s="86" t="s">
        <v>11</v>
      </c>
    </row>
    <row r="16" spans="1:7" ht="12.75">
      <c r="A16" s="101"/>
      <c r="B16" s="101"/>
      <c r="C16" s="88"/>
      <c r="D16" s="88"/>
      <c r="E16" s="88"/>
      <c r="F16" s="99"/>
      <c r="G16" s="101"/>
    </row>
    <row r="17" spans="1:7" ht="12.75">
      <c r="A17" s="101"/>
      <c r="B17" s="101"/>
      <c r="C17" s="88"/>
      <c r="D17" s="88"/>
      <c r="E17" s="88"/>
      <c r="F17" s="99"/>
      <c r="G17" s="101"/>
    </row>
    <row r="18" spans="1:7" ht="12.75">
      <c r="A18" s="87"/>
      <c r="B18" s="87"/>
      <c r="C18" s="82"/>
      <c r="D18" s="82"/>
      <c r="E18" s="82"/>
      <c r="F18" s="100"/>
      <c r="G18" s="87"/>
    </row>
    <row r="19" spans="1:7" s="6" customFormat="1" ht="19.5" customHeight="1">
      <c r="A19" s="114" t="s">
        <v>39</v>
      </c>
      <c r="B19" s="114"/>
      <c r="C19" s="15">
        <v>20235802.67</v>
      </c>
      <c r="D19" s="42">
        <v>26829037.78</v>
      </c>
      <c r="E19" s="44">
        <f>D19/C19*100-100</f>
        <v>32.58202907747568</v>
      </c>
      <c r="F19" s="15">
        <v>27368439.59</v>
      </c>
      <c r="G19" s="47">
        <f>F19/D19*100-100</f>
        <v>2.010514929469821</v>
      </c>
    </row>
    <row r="20" spans="1:7" ht="19.5" customHeight="1">
      <c r="A20" s="114" t="s">
        <v>40</v>
      </c>
      <c r="B20" s="114"/>
      <c r="C20" s="15">
        <v>9745767.94</v>
      </c>
      <c r="D20" s="42">
        <v>15430361.14</v>
      </c>
      <c r="E20" s="44">
        <f>D20/C20*100-100</f>
        <v>58.328838065889784</v>
      </c>
      <c r="F20" s="15">
        <v>16276854.97</v>
      </c>
      <c r="G20" s="47">
        <f>F20/D20*100-100</f>
        <v>5.4858977202137</v>
      </c>
    </row>
    <row r="21" spans="1:7" ht="19.5" customHeight="1">
      <c r="A21" s="95" t="s">
        <v>41</v>
      </c>
      <c r="B21" s="95"/>
      <c r="C21" s="15">
        <v>54579192.44</v>
      </c>
      <c r="D21" s="42">
        <v>65977868.78</v>
      </c>
      <c r="E21" s="44">
        <f>D21/C21*100-100</f>
        <v>20.88465554438315</v>
      </c>
      <c r="F21" s="15">
        <v>77069453.4</v>
      </c>
      <c r="G21" s="47">
        <f>F21/D21*100-100</f>
        <v>16.811068355336474</v>
      </c>
    </row>
    <row r="22" spans="1:7" ht="19.5" customHeight="1">
      <c r="A22" s="95" t="s">
        <v>42</v>
      </c>
      <c r="B22" s="95"/>
      <c r="C22" s="49">
        <v>15</v>
      </c>
      <c r="D22" s="46">
        <v>16</v>
      </c>
      <c r="E22" s="44">
        <f>D22/C22*100-100</f>
        <v>6.666666666666671</v>
      </c>
      <c r="F22" s="46">
        <v>16</v>
      </c>
      <c r="G22" s="47">
        <f>F22/D22*100-100</f>
        <v>0</v>
      </c>
    </row>
    <row r="23" spans="1:7" s="6" customFormat="1" ht="19.5" customHeight="1">
      <c r="A23" s="93"/>
      <c r="B23" s="93"/>
      <c r="C23" s="5"/>
      <c r="D23" s="5"/>
      <c r="E23" s="45"/>
      <c r="F23" s="5"/>
      <c r="G23" s="48"/>
    </row>
    <row r="24" spans="1:7" ht="3.75" customHeight="1" thickBot="1">
      <c r="A24" s="97"/>
      <c r="B24" s="97"/>
      <c r="C24" s="97"/>
      <c r="D24" s="97"/>
      <c r="E24" s="2"/>
      <c r="F24" s="2"/>
      <c r="G24" s="2"/>
    </row>
    <row r="25" ht="13.5" thickTop="1">
      <c r="A25" s="7" t="s">
        <v>43</v>
      </c>
    </row>
    <row r="28" ht="15">
      <c r="B28" s="4"/>
    </row>
  </sheetData>
  <sheetProtection/>
  <mergeCells count="16">
    <mergeCell ref="A24:D24"/>
    <mergeCell ref="A9:G10"/>
    <mergeCell ref="A14:G14"/>
    <mergeCell ref="E15:E18"/>
    <mergeCell ref="F15:F18"/>
    <mergeCell ref="G15:G18"/>
    <mergeCell ref="A12:G12"/>
    <mergeCell ref="A20:B20"/>
    <mergeCell ref="A21:B21"/>
    <mergeCell ref="A22:B22"/>
    <mergeCell ref="A11:G11"/>
    <mergeCell ref="A23:B23"/>
    <mergeCell ref="C15:C18"/>
    <mergeCell ref="D15:D18"/>
    <mergeCell ref="A15:B18"/>
    <mergeCell ref="A19:B19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legacyDrawing r:id="rId2"/>
  <oleObjects>
    <oleObject progId="Word.Document.8" shapeId="13558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G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7" width="12.7109375" style="0" customWidth="1"/>
  </cols>
  <sheetData>
    <row r="6" ht="12.75">
      <c r="G6" s="63" t="s">
        <v>113</v>
      </c>
    </row>
    <row r="8" ht="13.5" thickBot="1"/>
    <row r="9" spans="1:7" ht="10.5" customHeight="1" thickTop="1">
      <c r="A9" s="136" t="s">
        <v>114</v>
      </c>
      <c r="B9" s="136"/>
      <c r="C9" s="136"/>
      <c r="D9" s="136"/>
      <c r="E9" s="136"/>
      <c r="F9" s="136"/>
      <c r="G9" s="136"/>
    </row>
    <row r="10" spans="1:7" ht="27" customHeight="1">
      <c r="A10" s="137"/>
      <c r="B10" s="137"/>
      <c r="C10" s="137"/>
      <c r="D10" s="137"/>
      <c r="E10" s="137"/>
      <c r="F10" s="137"/>
      <c r="G10" s="137"/>
    </row>
    <row r="11" spans="1:7" ht="27" customHeight="1">
      <c r="A11" s="137" t="s">
        <v>96</v>
      </c>
      <c r="B11" s="137"/>
      <c r="C11" s="137"/>
      <c r="D11" s="137"/>
      <c r="E11" s="137"/>
      <c r="F11" s="137"/>
      <c r="G11" s="137"/>
    </row>
    <row r="12" spans="1:7" ht="27" customHeight="1">
      <c r="A12" s="73" t="s">
        <v>99</v>
      </c>
      <c r="B12" s="73"/>
      <c r="C12" s="73"/>
      <c r="D12" s="73"/>
      <c r="E12" s="73"/>
      <c r="F12" s="73"/>
      <c r="G12" s="73"/>
    </row>
    <row r="13" spans="1:7" ht="27" customHeight="1" thickBot="1">
      <c r="A13" s="28"/>
      <c r="B13" s="28"/>
      <c r="C13" s="28"/>
      <c r="D13" s="28"/>
      <c r="E13" s="28"/>
      <c r="F13" s="28"/>
      <c r="G13" s="29">
        <v>1000</v>
      </c>
    </row>
    <row r="14" spans="1:7" ht="14.25" thickBot="1" thickTop="1">
      <c r="A14" s="76" t="s">
        <v>87</v>
      </c>
      <c r="B14" s="76"/>
      <c r="C14" s="76"/>
      <c r="D14" s="76"/>
      <c r="E14" s="76"/>
      <c r="F14" s="76"/>
      <c r="G14" s="76"/>
    </row>
    <row r="15" spans="1:7" ht="13.5" thickTop="1">
      <c r="A15" s="86" t="s">
        <v>44</v>
      </c>
      <c r="B15" s="86"/>
      <c r="C15" s="86"/>
      <c r="D15" s="102"/>
      <c r="E15" s="132" t="s">
        <v>45</v>
      </c>
      <c r="F15" s="133"/>
      <c r="G15" s="133"/>
    </row>
    <row r="16" spans="1:7" ht="12.75">
      <c r="A16" s="101"/>
      <c r="B16" s="101"/>
      <c r="C16" s="101"/>
      <c r="D16" s="84"/>
      <c r="E16" s="134">
        <v>2009</v>
      </c>
      <c r="F16" s="134">
        <v>2010</v>
      </c>
      <c r="G16" s="135" t="s">
        <v>57</v>
      </c>
    </row>
    <row r="17" spans="1:7" ht="12.75">
      <c r="A17" s="101"/>
      <c r="B17" s="101"/>
      <c r="C17" s="101"/>
      <c r="D17" s="84"/>
      <c r="E17" s="99"/>
      <c r="F17" s="99"/>
      <c r="G17" s="88"/>
    </row>
    <row r="18" spans="1:7" ht="12.75">
      <c r="A18" s="87"/>
      <c r="B18" s="87"/>
      <c r="C18" s="87"/>
      <c r="D18" s="83"/>
      <c r="E18" s="100"/>
      <c r="F18" s="100"/>
      <c r="G18" s="82"/>
    </row>
    <row r="19" spans="1:7" s="6" customFormat="1" ht="19.5" customHeight="1">
      <c r="A19" s="114" t="s">
        <v>46</v>
      </c>
      <c r="B19" s="114"/>
      <c r="C19" s="114"/>
      <c r="D19" s="115"/>
      <c r="E19" s="10">
        <v>0</v>
      </c>
      <c r="F19" s="11">
        <v>0</v>
      </c>
      <c r="G19" s="12">
        <v>0</v>
      </c>
    </row>
    <row r="20" spans="1:7" ht="19.5" customHeight="1">
      <c r="A20" s="114" t="s">
        <v>52</v>
      </c>
      <c r="B20" s="114"/>
      <c r="C20" s="114"/>
      <c r="D20" s="115"/>
      <c r="E20" s="8">
        <v>0</v>
      </c>
      <c r="F20" s="8">
        <v>0</v>
      </c>
      <c r="G20" s="22">
        <v>0</v>
      </c>
    </row>
    <row r="21" spans="1:7" ht="19.5" customHeight="1">
      <c r="A21" s="114" t="s">
        <v>47</v>
      </c>
      <c r="B21" s="114"/>
      <c r="C21" s="114"/>
      <c r="D21" s="115"/>
      <c r="E21" s="8">
        <v>0</v>
      </c>
      <c r="F21" s="8">
        <v>0</v>
      </c>
      <c r="G21" s="22">
        <v>0</v>
      </c>
    </row>
    <row r="22" spans="1:7" ht="19.5" customHeight="1">
      <c r="A22" s="114" t="s">
        <v>48</v>
      </c>
      <c r="B22" s="114"/>
      <c r="C22" s="114"/>
      <c r="D22" s="115"/>
      <c r="E22" s="8">
        <v>0</v>
      </c>
      <c r="F22" s="8">
        <v>0</v>
      </c>
      <c r="G22" s="22">
        <v>0</v>
      </c>
    </row>
    <row r="23" spans="1:7" ht="19.5" customHeight="1">
      <c r="A23" s="114" t="s">
        <v>49</v>
      </c>
      <c r="B23" s="114"/>
      <c r="C23" s="114"/>
      <c r="D23" s="115"/>
      <c r="E23" s="8">
        <v>0</v>
      </c>
      <c r="F23" s="8">
        <v>0</v>
      </c>
      <c r="G23" s="22">
        <v>0</v>
      </c>
    </row>
    <row r="24" spans="1:7" ht="19.5" customHeight="1">
      <c r="A24" s="114" t="s">
        <v>50</v>
      </c>
      <c r="B24" s="114"/>
      <c r="C24" s="114"/>
      <c r="D24" s="115"/>
      <c r="E24" s="8">
        <v>0</v>
      </c>
      <c r="F24" s="8">
        <v>0</v>
      </c>
      <c r="G24" s="22">
        <v>0</v>
      </c>
    </row>
    <row r="25" spans="1:7" ht="19.5" customHeight="1" thickBot="1">
      <c r="A25" s="130" t="s">
        <v>51</v>
      </c>
      <c r="B25" s="130"/>
      <c r="C25" s="130"/>
      <c r="D25" s="131"/>
      <c r="E25" s="25">
        <v>0</v>
      </c>
      <c r="F25" s="25">
        <v>0</v>
      </c>
      <c r="G25" s="26">
        <v>0</v>
      </c>
    </row>
    <row r="26" ht="13.5" thickTop="1"/>
    <row r="28" ht="15">
      <c r="B28" s="4"/>
    </row>
  </sheetData>
  <sheetProtection/>
  <mergeCells count="16">
    <mergeCell ref="A23:D23"/>
    <mergeCell ref="A9:G10"/>
    <mergeCell ref="A14:G14"/>
    <mergeCell ref="A12:G12"/>
    <mergeCell ref="A15:D18"/>
    <mergeCell ref="A11:G11"/>
    <mergeCell ref="A24:D24"/>
    <mergeCell ref="A25:D25"/>
    <mergeCell ref="E15:G15"/>
    <mergeCell ref="E16:E18"/>
    <mergeCell ref="F16:F18"/>
    <mergeCell ref="G16:G18"/>
    <mergeCell ref="A19:D19"/>
    <mergeCell ref="A20:D20"/>
    <mergeCell ref="A21:D21"/>
    <mergeCell ref="A22:D22"/>
  </mergeCells>
  <printOptions horizontalCentered="1" verticalCentered="1"/>
  <pageMargins left="0.3937007874015748" right="0.3937007874015748" top="0.5905511811023623" bottom="0.5905511811023623" header="0.5118110236220472" footer="0.5118110236220472"/>
  <pageSetup firstPageNumber="74" useFirstPageNumber="1" horizontalDpi="600" verticalDpi="600" orientation="landscape" paperSize="9" r:id="rId3"/>
  <legacyDrawing r:id="rId2"/>
  <oleObjects>
    <oleObject progId="Word.Document.8" shapeId="1360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Uberaba</dc:creator>
  <cp:keywords/>
  <dc:description/>
  <cp:lastModifiedBy>codiub</cp:lastModifiedBy>
  <cp:lastPrinted>2008-06-06T13:37:25Z</cp:lastPrinted>
  <dcterms:created xsi:type="dcterms:W3CDTF">2004-05-03T17:30:01Z</dcterms:created>
  <dcterms:modified xsi:type="dcterms:W3CDTF">2009-01-11T10:46:00Z</dcterms:modified>
  <cp:category/>
  <cp:version/>
  <cp:contentType/>
  <cp:contentStatus/>
</cp:coreProperties>
</file>